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1640" activeTab="0"/>
  </bookViews>
  <sheets>
    <sheet name="Trave-Solaio c.a. " sheetId="1" r:id="rId1"/>
    <sheet name="Travi cont." sheetId="2" r:id="rId2"/>
  </sheets>
  <definedNames>
    <definedName name="_xlnm.Print_Area" localSheetId="0">'Trave-Solaio c.a. '!$N$1:$S$56</definedName>
  </definedNames>
  <calcPr fullCalcOnLoad="1"/>
</workbook>
</file>

<file path=xl/comments1.xml><?xml version="1.0" encoding="utf-8"?>
<comments xmlns="http://schemas.openxmlformats.org/spreadsheetml/2006/main">
  <authors>
    <author>P4</author>
  </authors>
  <commentList>
    <comment ref="B1" authorId="0">
      <text>
        <r>
          <rPr>
            <b/>
            <sz val="8"/>
            <rFont val="Tahoma"/>
            <family val="0"/>
          </rPr>
          <t xml:space="preserve">Aggiornamenti:
</t>
        </r>
        <r>
          <rPr>
            <sz val="8"/>
            <rFont val="Tahoma"/>
            <family val="2"/>
          </rPr>
          <t xml:space="preserve">
14/07/2003 Inserita la larghezza dell'appoggio
11/07/2003 Inserito nella casella H38 l'esclusione del controllo della % di armatura nella cella G38 se non vi è fascia piena.</t>
        </r>
      </text>
    </comment>
  </commentList>
</comments>
</file>

<file path=xl/sharedStrings.xml><?xml version="1.0" encoding="utf-8"?>
<sst xmlns="http://schemas.openxmlformats.org/spreadsheetml/2006/main" count="221" uniqueCount="150">
  <si>
    <t>(metodo delle tensioni ammissibili)</t>
  </si>
  <si>
    <t>Riferimento:</t>
  </si>
  <si>
    <r>
      <t>s</t>
    </r>
    <r>
      <rPr>
        <b/>
        <sz val="10"/>
        <rFont val="Arial"/>
        <family val="2"/>
      </rPr>
      <t>c amm.=</t>
    </r>
  </si>
  <si>
    <r>
      <t>(daN/cm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</si>
  <si>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Calcestruzzo</t>
  </si>
  <si>
    <r>
      <t>s</t>
    </r>
    <r>
      <rPr>
        <b/>
        <sz val="10"/>
        <rFont val="Arial"/>
        <family val="2"/>
      </rPr>
      <t>c amm. rid.=</t>
    </r>
  </si>
  <si>
    <t>Modulo elastico E</t>
  </si>
  <si>
    <t>(daN/cm2)</t>
  </si>
  <si>
    <r>
      <t>t</t>
    </r>
    <r>
      <rPr>
        <b/>
        <sz val="10"/>
        <rFont val="Arial"/>
        <family val="2"/>
      </rPr>
      <t>co=</t>
    </r>
  </si>
  <si>
    <r>
      <t>t</t>
    </r>
    <r>
      <rPr>
        <b/>
        <sz val="10"/>
        <rFont val="Arial"/>
        <family val="2"/>
      </rPr>
      <t>c1=</t>
    </r>
  </si>
  <si>
    <r>
      <t>s</t>
    </r>
    <r>
      <rPr>
        <b/>
        <sz val="10"/>
        <rFont val="Arial"/>
        <family val="2"/>
      </rPr>
      <t>s amm.=</t>
    </r>
  </si>
  <si>
    <t>Acciaio</t>
  </si>
  <si>
    <t>Altezza sezione</t>
  </si>
  <si>
    <t>H (cm)</t>
  </si>
  <si>
    <t xml:space="preserve">Sez.T: spes. soletta </t>
  </si>
  <si>
    <t xml:space="preserve"> Ss (cm)</t>
  </si>
  <si>
    <t>Base sezione</t>
  </si>
  <si>
    <t>B (cm)</t>
  </si>
  <si>
    <t>Sez.T: Base travetto</t>
  </si>
  <si>
    <t>bo (cm)</t>
  </si>
  <si>
    <t>Copriferro superiore</t>
  </si>
  <si>
    <t>(cm)</t>
  </si>
  <si>
    <t>Base inferiore sez.</t>
  </si>
  <si>
    <t>Copriferro inferiore</t>
  </si>
  <si>
    <t xml:space="preserve">  mom. inerzia sez.</t>
  </si>
  <si>
    <r>
      <t>(cm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</si>
  <si>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t>Luce di calcolo</t>
  </si>
  <si>
    <t>L (m)</t>
  </si>
  <si>
    <t>CARICHI RIPARTITI:</t>
  </si>
  <si>
    <t>Carico permanente distrib.</t>
  </si>
  <si>
    <r>
      <t>(daN/m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</si>
  <si>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t>peso sp. Cls=</t>
  </si>
  <si>
    <r>
      <t>(daN/m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>)</t>
    </r>
  </si>
  <si>
    <t>Carico accidentale disctrib.</t>
  </si>
  <si>
    <t>p.sp.Allegger.=</t>
  </si>
  <si>
    <t>(m)</t>
  </si>
  <si>
    <t>(N.B.:Peso proprio da inserire nel carico permanenete:)</t>
  </si>
  <si>
    <t>Carico lineare uniforme perm.</t>
  </si>
  <si>
    <t>(daN/m)</t>
  </si>
  <si>
    <t>peso  proprio=</t>
  </si>
  <si>
    <t>SOLLECITAZIONI:</t>
  </si>
  <si>
    <t>SEZIONE:</t>
  </si>
  <si>
    <t>ascissa</t>
  </si>
  <si>
    <t>Coeff. Momento</t>
  </si>
  <si>
    <t>q L^2/..</t>
  </si>
  <si>
    <t>Mmezz &gt;0</t>
  </si>
  <si>
    <t xml:space="preserve">Mapp &lt;0 </t>
  </si>
  <si>
    <t>Momento</t>
  </si>
  <si>
    <t>(daN m)</t>
  </si>
  <si>
    <t>&lt;(*)Mmezz &lt;</t>
  </si>
  <si>
    <t>Coeff. Taglio</t>
  </si>
  <si>
    <t>q L /..</t>
  </si>
  <si>
    <t xml:space="preserve">Taglio </t>
  </si>
  <si>
    <t>(daN)</t>
  </si>
  <si>
    <t>P L /..</t>
  </si>
  <si>
    <t xml:space="preserve">Momento </t>
  </si>
  <si>
    <t>Mmezz :</t>
  </si>
  <si>
    <t>P /..</t>
  </si>
  <si>
    <t>VERIFICHE:</t>
  </si>
  <si>
    <t>(**)</t>
  </si>
  <si>
    <t xml:space="preserve">Armatura superiore </t>
  </si>
  <si>
    <r>
      <t>(cm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</si>
  <si>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Armatura inferiore </t>
  </si>
  <si>
    <r>
      <t>M</t>
    </r>
    <r>
      <rPr>
        <sz val="7.9"/>
        <rFont val="Arial"/>
        <family val="2"/>
      </rPr>
      <t>OMENTO</t>
    </r>
  </si>
  <si>
    <t>TAGLIO</t>
  </si>
  <si>
    <t xml:space="preserve"> As' compressa</t>
  </si>
  <si>
    <t xml:space="preserve"> As  tesa</t>
  </si>
  <si>
    <t xml:space="preserve"> As / Ac  </t>
  </si>
  <si>
    <t>( &gt; 0,0015 )</t>
  </si>
  <si>
    <t>h'</t>
  </si>
  <si>
    <t>h</t>
  </si>
  <si>
    <t>coef. A*, f e do:</t>
  </si>
  <si>
    <t>A* =</t>
  </si>
  <si>
    <t>f=</t>
  </si>
  <si>
    <t>do=</t>
  </si>
  <si>
    <t xml:space="preserve">  asse neutro x (cm)</t>
  </si>
  <si>
    <t xml:space="preserve">  mom. inerzia id. J</t>
  </si>
  <si>
    <r>
      <t>s</t>
    </r>
    <r>
      <rPr>
        <b/>
        <sz val="10"/>
        <rFont val="Arial"/>
        <family val="0"/>
      </rPr>
      <t>c</t>
    </r>
  </si>
  <si>
    <r>
      <t>s</t>
    </r>
    <r>
      <rPr>
        <b/>
        <sz val="10"/>
        <rFont val="Arial"/>
        <family val="0"/>
      </rPr>
      <t>s</t>
    </r>
  </si>
  <si>
    <t>t</t>
  </si>
  <si>
    <t>STAFFE:</t>
  </si>
  <si>
    <r>
      <t>f</t>
    </r>
    <r>
      <rPr>
        <sz val="9.9"/>
        <rFont val="Arial"/>
        <family val="0"/>
      </rPr>
      <t xml:space="preserve"> staffe</t>
    </r>
  </si>
  <si>
    <t>(mm)</t>
  </si>
  <si>
    <t>passo staffe</t>
  </si>
  <si>
    <t>PUNZONAMENTO:</t>
  </si>
  <si>
    <t>carico:</t>
  </si>
  <si>
    <r>
      <t>Impronta:</t>
    </r>
    <r>
      <rPr>
        <i/>
        <sz val="10"/>
        <rFont val="Arial"/>
        <family val="2"/>
      </rPr>
      <t>(cm)</t>
    </r>
  </si>
  <si>
    <t>Carico</t>
  </si>
  <si>
    <t>t =</t>
  </si>
  <si>
    <t>FRECCIA  carico totale:</t>
  </si>
  <si>
    <t>&lt;L/500 =</t>
  </si>
  <si>
    <t>FRECCIA  carico accid:</t>
  </si>
  <si>
    <t>&lt;L/1000 =</t>
  </si>
  <si>
    <t xml:space="preserve">NOTE: </t>
  </si>
  <si>
    <t>(**) Il diametro serve solo per la determinazione esatta del baricentro delle armature (h e h')</t>
  </si>
  <si>
    <t>COMPOSIZIONE ARMATURA :</t>
  </si>
  <si>
    <t>totale</t>
  </si>
  <si>
    <t>TRAVE  SEMPLICEMENTE APPOGGIATA A 3 CAMPATE:</t>
  </si>
  <si>
    <t>carico acc</t>
  </si>
  <si>
    <t>carico perm</t>
  </si>
  <si>
    <t>Q totale</t>
  </si>
  <si>
    <t>campata 1</t>
  </si>
  <si>
    <t>campata 2</t>
  </si>
  <si>
    <t>campata 3</t>
  </si>
  <si>
    <t>luci</t>
  </si>
  <si>
    <t>M appoggi =</t>
  </si>
  <si>
    <t>= Mb            Mc =</t>
  </si>
  <si>
    <t>M+ campata =</t>
  </si>
  <si>
    <t>M appoggi  K =</t>
  </si>
  <si>
    <t>/0</t>
  </si>
  <si>
    <t>M+ campata K =</t>
  </si>
  <si>
    <t xml:space="preserve">TRAVE  A 2 CAMPATE </t>
  </si>
  <si>
    <t>Mb =</t>
  </si>
  <si>
    <t>M appoggio  K =</t>
  </si>
  <si>
    <t>Coef. Sisma Verticale          Kv</t>
  </si>
  <si>
    <t>TRAVI CONTINUE SEMPLICEMENTE APPOGGIATE:</t>
  </si>
  <si>
    <t>M appoggio =</t>
  </si>
  <si>
    <t>Carico ripartito Tot.     (q)</t>
  </si>
  <si>
    <t xml:space="preserve">Carico perm. conc.      (P) </t>
  </si>
  <si>
    <t>Sollecitazioni imposte da utente:</t>
  </si>
  <si>
    <t> </t>
  </si>
  <si>
    <t>(*) Momento max in campata calcolato   1) stesso momento nelle due estremità   2)  appoggio semplice (M=0) nell'altra estremità</t>
  </si>
  <si>
    <t>(per calcolo da carichi metttere tutto =0)</t>
  </si>
  <si>
    <t>(stima peso solaio)</t>
  </si>
  <si>
    <t>n° bracci</t>
  </si>
  <si>
    <r>
      <t xml:space="preserve">Tipologia:   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=trave  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>=aggetto</t>
    </r>
  </si>
  <si>
    <t>(200 - 250 - 300 ecc.)</t>
  </si>
  <si>
    <t>(44 - 38 - 32 - altro=22)</t>
  </si>
  <si>
    <t xml:space="preserve">(Kv = 0 - 0,2 - 0,4) </t>
  </si>
  <si>
    <t>L'ARMATURA SUPERIORE E' COMPRESSA  IN MEZZERIA E TESA ALLE ESTREMITA'</t>
  </si>
  <si>
    <t>L'ARMATURA INFERIORE E'  TESA IN MEZZERIA E COMPRESSA ALLE ESTREMITA'</t>
  </si>
  <si>
    <t>AREA DI STAMPA</t>
  </si>
  <si>
    <t>TRAVETTI SOLAIO AULE H=20+5CM</t>
  </si>
  <si>
    <t xml:space="preserve">n. </t>
  </si>
  <si>
    <t>(0 - 2 - 4 - ecc.)(***)</t>
  </si>
  <si>
    <t>Larghezza area di carico</t>
  </si>
  <si>
    <r>
      <t xml:space="preserve">(***) Se le staffe non sono necessarie (es. solai o solette con </t>
    </r>
    <r>
      <rPr>
        <i/>
        <sz val="10"/>
        <rFont val="Arial"/>
        <family val="2"/>
      </rPr>
      <t>tau&lt;tauco</t>
    </r>
    <r>
      <rPr>
        <sz val="10"/>
        <rFont val="Arial"/>
        <family val="0"/>
      </rPr>
      <t>) mettere: n° bracci=0 (zero). Il n° bracci delle staffe, in genere, è pari.</t>
    </r>
  </si>
  <si>
    <t>N.B.: La verifica a lato della fascia piena (sz. T) o in campata (sez. Ret.) è attendibile per ascissa minore di luce/4, a cuasa degli inviluppi dei momenti.</t>
  </si>
  <si>
    <t>Versione:</t>
  </si>
  <si>
    <t>Larghezza Appoggio</t>
  </si>
  <si>
    <t>Asse appoggio</t>
  </si>
  <si>
    <t>Rispettare i segni:</t>
  </si>
  <si>
    <t>T mezz &gt;0</t>
  </si>
  <si>
    <t>T app &gt;0</t>
  </si>
  <si>
    <r>
      <t xml:space="preserve">STUDIO DI </t>
    </r>
    <r>
      <rPr>
        <b/>
        <sz val="9"/>
        <color indexed="12"/>
        <rFont val="Arial"/>
        <family val="2"/>
      </rPr>
      <t>INGEGNERIA STRUTTURALE</t>
    </r>
    <r>
      <rPr>
        <sz val="9"/>
        <color indexed="12"/>
        <rFont val="Arial"/>
        <family val="2"/>
      </rPr>
      <t xml:space="preserve"> Ing. Gino DI RUZZA</t>
    </r>
  </si>
  <si>
    <t>HE 200 M</t>
  </si>
  <si>
    <t>PROGETTAZIONI    ED    INDAGINI     STRUTTURALI</t>
  </si>
  <si>
    <t>HE 220 M</t>
  </si>
  <si>
    <t>SORA (FR)  - ginodiruzza@tin.it</t>
  </si>
  <si>
    <t>HE 240 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</si>
</sst>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Rbk&quot;0"/>
    <numFmt numFmtId="166" formatCode="&quot;FeB&quot;0&quot;k&quot;"/>
    <numFmt numFmtId="167" formatCode="&quot; fi &quot;0"/>
    <numFmt numFmtId="168" formatCode="0.0000"/>
    <numFmt numFmtId="169" formatCode="0.000"/>
    <numFmt numFmtId="170" formatCode="&quot;n. fi &quot;0"/>
    <numFmt numFmtId="171" formatCode="&quot;&lt; L /&quot;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Symbol"/>
      <family val="1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7.9"/>
      <name val="Arial"/>
      <family val="2"/>
    </font>
    <font>
      <sz val="8"/>
      <color indexed="23"/>
      <name val="Arial"/>
      <family val="2"/>
    </font>
    <font>
      <b/>
      <sz val="12"/>
      <name val="Symbol"/>
      <family val="1"/>
    </font>
    <font>
      <sz val="10"/>
      <name val="Symbol"/>
      <family val="1"/>
    </font>
    <font>
      <sz val="9.9"/>
      <name val="Arial"/>
      <family val="0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color indexed="22"/>
      <name val="Arial"/>
      <family val="2"/>
    </font>
    <font>
      <i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slantDashDot">
        <color indexed="39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 style="slantDashDot">
        <color indexed="39"/>
      </right>
      <top style="slantDashDot">
        <color indexed="39"/>
      </top>
      <bottom style="slantDashDot">
        <color indexed="39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slantDashDot">
        <color indexed="39"/>
      </left>
      <right>
        <color indexed="63"/>
      </right>
      <top>
        <color indexed="63"/>
      </top>
      <bottom style="slantDashDot">
        <color indexed="39"/>
      </bottom>
    </border>
    <border>
      <left>
        <color indexed="63"/>
      </left>
      <right>
        <color indexed="63"/>
      </right>
      <top>
        <color indexed="63"/>
      </top>
      <bottom style="slantDashDot">
        <color indexed="39"/>
      </bottom>
    </border>
    <border>
      <left>
        <color indexed="63"/>
      </left>
      <right style="slantDashDot">
        <color indexed="39"/>
      </right>
      <top>
        <color indexed="63"/>
      </top>
      <bottom style="slantDashDot">
        <color indexed="3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hidden="1"/>
    </xf>
    <xf numFmtId="0" fontId="8" fillId="0" borderId="1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8" fillId="0" borderId="3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9" fillId="0" borderId="5" xfId="0" applyFont="1" applyFill="1" applyBorder="1" applyAlignment="1">
      <alignment horizontal="center"/>
    </xf>
    <xf numFmtId="2" fontId="12" fillId="0" borderId="0" xfId="0" applyNumberFormat="1" applyFont="1" applyFill="1" applyAlignment="1" applyProtection="1">
      <alignment horizontal="center"/>
      <protection hidden="1"/>
    </xf>
    <xf numFmtId="2" fontId="7" fillId="0" borderId="0" xfId="0" applyNumberFormat="1" applyFont="1" applyFill="1" applyAlignment="1" applyProtection="1">
      <alignment horizontal="center"/>
      <protection hidden="1"/>
    </xf>
    <xf numFmtId="0" fontId="8" fillId="0" borderId="6" xfId="0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3" xfId="0" applyFont="1" applyFill="1" applyBorder="1" applyAlignment="1">
      <alignment horizontal="right"/>
    </xf>
    <xf numFmtId="0" fontId="2" fillId="3" borderId="8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 quotePrefix="1">
      <alignment horizontal="right"/>
      <protection locked="0"/>
    </xf>
    <xf numFmtId="0" fontId="16" fillId="0" borderId="12" xfId="0" applyFont="1" applyFill="1" applyBorder="1" applyAlignment="1">
      <alignment horizontal="right"/>
    </xf>
    <xf numFmtId="0" fontId="2" fillId="3" borderId="13" xfId="0" applyFont="1" applyFill="1" applyBorder="1" applyAlignment="1" applyProtection="1">
      <alignment horizontal="center"/>
      <protection locked="0"/>
    </xf>
    <xf numFmtId="1" fontId="0" fillId="0" borderId="12" xfId="0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 quotePrefix="1">
      <alignment horizontal="center"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18" fillId="0" borderId="7" xfId="0" applyFont="1" applyFill="1" applyBorder="1" applyAlignment="1">
      <alignment horizontal="center"/>
    </xf>
    <xf numFmtId="2" fontId="2" fillId="3" borderId="1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 horizontal="right"/>
    </xf>
    <xf numFmtId="0" fontId="2" fillId="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" borderId="8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right"/>
    </xf>
    <xf numFmtId="0" fontId="0" fillId="3" borderId="17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0" fillId="3" borderId="18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center"/>
    </xf>
    <xf numFmtId="2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2" fontId="2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Border="1" applyAlignment="1">
      <alignment/>
    </xf>
    <xf numFmtId="1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Font="1" applyFill="1" applyBorder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7" fontId="5" fillId="3" borderId="8" xfId="0" applyNumberFormat="1" applyFont="1" applyFill="1" applyBorder="1" applyAlignment="1" applyProtection="1">
      <alignment horizontal="center"/>
      <protection locked="0"/>
    </xf>
    <xf numFmtId="2" fontId="0" fillId="3" borderId="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1" fontId="7" fillId="0" borderId="0" xfId="0" applyFont="1" applyFill="1" applyBorder="1" applyAlignment="1">
      <alignment horizontal="center"/>
    </xf>
    <xf numFmtId="1" fontId="0" fillId="0" borderId="0" xfId="0" applyFont="1" applyFill="1" applyBorder="1" applyAlignment="1">
      <alignment horizontal="center"/>
    </xf>
    <xf numFmtId="1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0" fillId="0" borderId="0" xfId="0" applyFont="1" applyFill="1" applyBorder="1" applyAlignment="1">
      <alignment horizontal="center"/>
    </xf>
    <xf numFmtId="1" fontId="8" fillId="0" borderId="0" xfId="0" applyFont="1" applyFill="1" applyBorder="1" applyAlignment="1">
      <alignment horizontal="center"/>
    </xf>
    <xf numFmtId="1" fontId="15" fillId="0" borderId="0" xfId="0" applyFont="1" applyFill="1" applyBorder="1" applyAlignment="1">
      <alignment horizontal="center"/>
    </xf>
    <xf numFmtId="1" fontId="2" fillId="0" borderId="0" xfId="0" applyFont="1" applyFill="1" applyBorder="1" applyAlignment="1">
      <alignment horizontal="center"/>
    </xf>
    <xf numFmtId="1" fontId="24" fillId="0" borderId="0" xfId="0" applyFont="1" applyFill="1" applyBorder="1" applyAlignment="1">
      <alignment horizontal="center"/>
    </xf>
    <xf numFmtId="2" fontId="2" fillId="0" borderId="0" xfId="0" applyFont="1" applyFill="1" applyBorder="1" applyAlignment="1">
      <alignment horizontal="center"/>
    </xf>
    <xf numFmtId="1" fontId="25" fillId="0" borderId="0" xfId="0" applyFont="1" applyFill="1" applyBorder="1" applyAlignment="1">
      <alignment horizontal="center"/>
    </xf>
    <xf numFmtId="1" fontId="0" fillId="0" borderId="0" xfId="0" applyFont="1" applyFill="1" applyBorder="1" applyAlignment="1" applyProtection="1">
      <alignment horizontal="center"/>
      <protection locked="0"/>
    </xf>
    <xf numFmtId="1" fontId="9" fillId="0" borderId="0" xfId="0" applyFont="1" applyFill="1" applyBorder="1" applyAlignment="1">
      <alignment horizontal="center"/>
    </xf>
    <xf numFmtId="1" fontId="27" fillId="0" borderId="0" xfId="0" applyFont="1" applyFill="1" applyBorder="1" applyAlignment="1">
      <alignment horizontal="center"/>
    </xf>
    <xf numFmtId="0" fontId="0" fillId="3" borderId="8" xfId="0" applyFont="1" applyFill="1" applyBorder="1" applyAlignment="1" applyProtection="1">
      <alignment horizontal="right"/>
      <protection locked="0"/>
    </xf>
    <xf numFmtId="1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" fontId="0" fillId="0" borderId="0" xfId="0" applyFont="1" applyFill="1" applyBorder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169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70" fontId="5" fillId="3" borderId="20" xfId="0" applyNumberFormat="1" applyFont="1" applyFill="1" applyBorder="1" applyAlignment="1" applyProtection="1">
      <alignment/>
      <protection locked="0"/>
    </xf>
    <xf numFmtId="0" fontId="0" fillId="3" borderId="16" xfId="0" applyFont="1" applyFill="1" applyBorder="1" applyAlignment="1" applyProtection="1">
      <alignment horizontal="center"/>
      <protection locked="0"/>
    </xf>
    <xf numFmtId="1" fontId="7" fillId="0" borderId="20" xfId="0" applyFont="1" applyFill="1" applyBorder="1" applyAlignment="1">
      <alignment horizontal="center"/>
    </xf>
    <xf numFmtId="2" fontId="2" fillId="0" borderId="1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right"/>
    </xf>
    <xf numFmtId="1" fontId="7" fillId="0" borderId="21" xfId="0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0" fillId="0" borderId="2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right"/>
    </xf>
    <xf numFmtId="2" fontId="2" fillId="0" borderId="2" xfId="0" applyFont="1" applyFill="1" applyBorder="1" applyAlignment="1">
      <alignment horizontal="left"/>
    </xf>
    <xf numFmtId="2" fontId="2" fillId="0" borderId="0" xfId="0" applyFont="1" applyFill="1" applyBorder="1" applyAlignment="1">
      <alignment horizontal="right"/>
    </xf>
    <xf numFmtId="2" fontId="2" fillId="0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2" fillId="0" borderId="19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2" fontId="0" fillId="3" borderId="1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3" borderId="23" xfId="0" applyFont="1" applyFill="1" applyBorder="1" applyAlignment="1" applyProtection="1">
      <alignment horizontal="center"/>
      <protection locked="0"/>
    </xf>
    <xf numFmtId="2" fontId="0" fillId="3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5" borderId="19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>
      <alignment/>
    </xf>
    <xf numFmtId="0" fontId="0" fillId="0" borderId="22" xfId="0" applyBorder="1" applyAlignment="1">
      <alignment horizontal="right"/>
    </xf>
    <xf numFmtId="164" fontId="0" fillId="0" borderId="24" xfId="0" applyNumberFormat="1" applyFont="1" applyFill="1" applyBorder="1" applyAlignment="1">
      <alignment horizontal="center"/>
    </xf>
    <xf numFmtId="2" fontId="2" fillId="0" borderId="22" xfId="0" applyFont="1" applyFill="1" applyBorder="1" applyAlignment="1">
      <alignment horizontal="right"/>
    </xf>
    <xf numFmtId="2" fontId="2" fillId="0" borderId="25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left"/>
    </xf>
    <xf numFmtId="2" fontId="2" fillId="0" borderId="22" xfId="0" applyFont="1" applyFill="1" applyBorder="1" applyAlignment="1">
      <alignment horizontal="left"/>
    </xf>
    <xf numFmtId="0" fontId="0" fillId="4" borderId="26" xfId="0" applyFont="1" applyFill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2" fontId="34" fillId="0" borderId="0" xfId="0" applyNumberFormat="1" applyFont="1" applyFill="1" applyAlignment="1">
      <alignment horizontal="center"/>
    </xf>
    <xf numFmtId="2" fontId="35" fillId="0" borderId="0" xfId="0" applyNumberFormat="1" applyFont="1" applyFill="1" applyBorder="1" applyAlignment="1" applyProtection="1">
      <alignment horizontal="center"/>
      <protection/>
    </xf>
    <xf numFmtId="1" fontId="0" fillId="3" borderId="8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64" fontId="2" fillId="0" borderId="4" xfId="0" applyNumberFormat="1" applyFont="1" applyFill="1" applyBorder="1" applyAlignment="1">
      <alignment horizontal="left"/>
    </xf>
    <xf numFmtId="0" fontId="15" fillId="2" borderId="2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/>
    </xf>
    <xf numFmtId="166" fontId="0" fillId="3" borderId="16" xfId="0" applyNumberFormat="1" applyFont="1" applyFill="1" applyBorder="1" applyAlignment="1" applyProtection="1">
      <alignment horizontal="center"/>
      <protection locked="0"/>
    </xf>
    <xf numFmtId="165" fontId="0" fillId="3" borderId="29" xfId="0" applyNumberFormat="1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 quotePrefix="1">
      <alignment horizont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1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38" fillId="2" borderId="33" xfId="0" applyFont="1" applyFill="1" applyBorder="1" applyAlignment="1" applyProtection="1">
      <alignment horizontal="center" vertical="center"/>
      <protection hidden="1"/>
    </xf>
    <xf numFmtId="0" fontId="38" fillId="2" borderId="34" xfId="0" applyFont="1" applyFill="1" applyBorder="1" applyAlignment="1" applyProtection="1">
      <alignment horizontal="center" vertical="center"/>
      <protection hidden="1"/>
    </xf>
    <xf numFmtId="0" fontId="38" fillId="2" borderId="35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0" fillId="0" borderId="36" xfId="19" applyFont="1" applyFill="1" applyBorder="1" applyAlignment="1">
      <alignment horizontal="left" wrapText="1"/>
      <protection/>
    </xf>
    <xf numFmtId="0" fontId="40" fillId="0" borderId="37" xfId="19" applyFont="1" applyFill="1" applyBorder="1" applyAlignment="1">
      <alignment horizontal="right" wrapText="1"/>
      <protection/>
    </xf>
    <xf numFmtId="0" fontId="40" fillId="0" borderId="38" xfId="19" applyFont="1" applyFill="1" applyBorder="1" applyAlignment="1">
      <alignment horizontal="right" wrapText="1"/>
      <protection/>
    </xf>
    <xf numFmtId="0" fontId="40" fillId="0" borderId="39" xfId="19" applyFont="1" applyFill="1" applyBorder="1" applyAlignment="1">
      <alignment horizontal="right" wrapText="1"/>
      <protection/>
    </xf>
    <xf numFmtId="0" fontId="40" fillId="0" borderId="40" xfId="19" applyFont="1" applyFill="1" applyBorder="1" applyAlignment="1">
      <alignment horizontal="right" wrapText="1"/>
      <protection/>
    </xf>
    <xf numFmtId="0" fontId="40" fillId="0" borderId="41" xfId="19" applyFont="1" applyFill="1" applyBorder="1" applyAlignment="1">
      <alignment horizontal="right" wrapText="1"/>
      <protection/>
    </xf>
    <xf numFmtId="0" fontId="40" fillId="0" borderId="42" xfId="19" applyFont="1" applyFill="1" applyBorder="1" applyAlignment="1">
      <alignment horizontal="right" wrapText="1"/>
      <protection/>
    </xf>
    <xf numFmtId="0" fontId="35" fillId="2" borderId="43" xfId="0" applyFont="1" applyFill="1" applyBorder="1" applyAlignment="1" applyProtection="1">
      <alignment horizontal="center" vertical="center"/>
      <protection hidden="1"/>
    </xf>
    <xf numFmtId="0" fontId="31" fillId="2" borderId="44" xfId="0" applyFont="1" applyFill="1" applyBorder="1" applyAlignment="1" applyProtection="1">
      <alignment horizontal="center" vertical="center"/>
      <protection hidden="1"/>
    </xf>
    <xf numFmtId="0" fontId="31" fillId="2" borderId="45" xfId="0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1.421875" style="1" customWidth="1"/>
    <col min="2" max="2" width="16.28125" style="1" customWidth="1"/>
    <col min="3" max="3" width="7.421875" style="1" customWidth="1"/>
    <col min="4" max="4" width="11.421875" style="1" customWidth="1"/>
    <col min="5" max="5" width="17.421875" style="1" customWidth="1"/>
    <col min="6" max="6" width="15.28125" style="1" customWidth="1"/>
    <col min="7" max="7" width="14.28125" style="1" customWidth="1"/>
    <col min="8" max="8" width="16.00390625" style="5" customWidth="1"/>
    <col min="9" max="9" width="14.28125" style="1" customWidth="1"/>
    <col min="10" max="10" width="11.421875" style="1" customWidth="1"/>
    <col min="11" max="11" width="3.140625" style="0" customWidth="1"/>
    <col min="12" max="12" width="8.7109375" style="0" customWidth="1"/>
    <col min="13" max="13" width="6.8515625" style="0" customWidth="1"/>
    <col min="14" max="14" width="17.00390625" style="0" customWidth="1"/>
    <col min="15" max="15" width="7.140625" style="0" customWidth="1"/>
    <col min="16" max="16" width="9.421875" style="0" customWidth="1"/>
    <col min="17" max="17" width="17.28125" style="0" customWidth="1"/>
    <col min="18" max="18" width="15.00390625" style="0" customWidth="1"/>
    <col min="19" max="19" width="15.7109375" style="0" customWidth="1"/>
    <col min="21" max="21" width="3.7109375" style="0" customWidth="1"/>
    <col min="23" max="23" width="10.57421875" style="0" customWidth="1"/>
    <col min="24" max="24" width="22.28125" style="0" customWidth="1"/>
    <col min="25" max="25" width="6.28125" style="0" customWidth="1"/>
    <col min="26" max="26" width="6.7109375" style="0" customWidth="1"/>
    <col min="27" max="27" width="4.140625" style="0" customWidth="1"/>
    <col min="28" max="28" width="4.28125" style="0" customWidth="1"/>
    <col min="29" max="29" width="7.28125" style="0" customWidth="1"/>
    <col min="30" max="30" width="5.28125" style="0" customWidth="1"/>
    <col min="31" max="31" width="3.28125" style="0" customWidth="1"/>
    <col min="32" max="33" width="10.28125" style="0" customWidth="1"/>
    <col min="34" max="34" width="6.28125" style="0" customWidth="1"/>
    <col min="35" max="35" width="6.7109375" style="0" customWidth="1"/>
    <col min="36" max="36" width="4.140625" style="0" customWidth="1"/>
    <col min="37" max="37" width="4.28125" style="0" customWidth="1"/>
    <col min="38" max="38" width="7.28125" style="0" customWidth="1"/>
    <col min="39" max="39" width="5.28125" style="0" customWidth="1"/>
    <col min="40" max="40" width="3.28125" style="0" customWidth="1"/>
    <col min="41" max="41" width="6.28125" style="0" customWidth="1"/>
  </cols>
  <sheetData>
    <row r="1" spans="1:21" ht="15">
      <c r="A1" s="1" t="s">
        <v>138</v>
      </c>
      <c r="B1" s="207">
        <v>37816</v>
      </c>
      <c r="C1" s="2"/>
      <c r="E1" s="3" t="str">
        <f>"VERIFICA TRAVE IN C.A."&amp;IF(G8=2," IN AGGETTO","")&amp;IF(AND(G13&gt;0,G9*G10&gt;0)," CON FASCIA PIENA","")</f>
        <v>VERIFICA TRAVE IN C.A.</v>
      </c>
      <c r="F1" s="4"/>
      <c r="G1" s="4"/>
      <c r="K1" s="6"/>
      <c r="L1" s="7"/>
      <c r="M1" s="7"/>
      <c r="N1" s="223" t="str">
        <f>E1</f>
        <v>VERIFICA TRAVE IN C.A.</v>
      </c>
      <c r="O1" s="223"/>
      <c r="P1" s="223"/>
      <c r="Q1" s="223"/>
      <c r="R1" s="223"/>
      <c r="S1" s="223"/>
      <c r="U1" s="6"/>
    </row>
    <row r="2" spans="2:21" ht="16.5" thickBot="1">
      <c r="B2" s="8"/>
      <c r="E2" s="9" t="s">
        <v>0</v>
      </c>
      <c r="K2" s="6"/>
      <c r="L2" s="7"/>
      <c r="M2" s="7"/>
      <c r="N2" s="224" t="str">
        <f>E2</f>
        <v>(metodo delle tensioni ammissibili)</v>
      </c>
      <c r="O2" s="224"/>
      <c r="P2" s="224"/>
      <c r="Q2" s="224"/>
      <c r="R2" s="224"/>
      <c r="S2" s="224"/>
      <c r="U2" s="6"/>
    </row>
    <row r="3" spans="2:46" ht="19.5" customHeight="1" thickBot="1">
      <c r="B3" s="8"/>
      <c r="C3" s="10" t="s">
        <v>1</v>
      </c>
      <c r="D3" s="225" t="s">
        <v>132</v>
      </c>
      <c r="E3" s="226"/>
      <c r="F3" s="226"/>
      <c r="G3" s="227"/>
      <c r="K3" s="6"/>
      <c r="L3" s="7"/>
      <c r="M3" s="7"/>
      <c r="N3" s="8"/>
      <c r="O3" s="11" t="str">
        <f>C3</f>
        <v>Riferimento:</v>
      </c>
      <c r="P3" s="12" t="str">
        <f>D3</f>
        <v>TRAVETTI SOLAIO AULE H=20+5CM</v>
      </c>
      <c r="Q3" s="13"/>
      <c r="R3" s="13"/>
      <c r="S3" s="13"/>
      <c r="U3" s="6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2:38" ht="15" customHeight="1">
      <c r="B4" s="15" t="s">
        <v>2</v>
      </c>
      <c r="C4" s="16">
        <f>60+(G4-150)/4</f>
        <v>85</v>
      </c>
      <c r="D4" s="21" t="s">
        <v>3</v>
      </c>
      <c r="E4" s="111" t="s">
        <v>4</v>
      </c>
      <c r="F4" s="5"/>
      <c r="G4" s="215">
        <v>250</v>
      </c>
      <c r="H4" s="104" t="s">
        <v>126</v>
      </c>
      <c r="K4" s="6"/>
      <c r="L4" s="7"/>
      <c r="M4" s="7"/>
      <c r="N4" s="19" t="s">
        <v>2</v>
      </c>
      <c r="O4" s="20">
        <f>C5</f>
        <v>76.5</v>
      </c>
      <c r="P4" s="21" t="str">
        <f>D5</f>
        <v>(daN/cm2)</v>
      </c>
      <c r="Q4" s="22" t="str">
        <f>E4</f>
        <v>Calcestruzzo</v>
      </c>
      <c r="R4" s="22"/>
      <c r="S4" s="23">
        <f>G4</f>
        <v>250</v>
      </c>
      <c r="U4" s="6"/>
      <c r="W4" s="14"/>
      <c r="X4" s="14"/>
      <c r="Y4" s="14"/>
      <c r="Z4" s="14"/>
      <c r="AA4" s="14"/>
      <c r="AC4" s="14"/>
      <c r="AE4" s="14"/>
      <c r="AF4" s="14"/>
      <c r="AG4" s="14"/>
      <c r="AH4" s="14"/>
      <c r="AI4" s="14"/>
      <c r="AJ4" s="14"/>
      <c r="AK4" s="24"/>
      <c r="AL4" s="14"/>
    </row>
    <row r="5" spans="2:38" ht="12.75">
      <c r="B5" s="25" t="s">
        <v>5</v>
      </c>
      <c r="C5" s="26">
        <f>IF(G9=0,C4,IF(G9&lt;5,C4*0.7,C4*0.9))</f>
        <v>76.5</v>
      </c>
      <c r="D5" s="21" t="s">
        <v>3</v>
      </c>
      <c r="E5" s="27" t="s">
        <v>6</v>
      </c>
      <c r="F5" s="28" t="s">
        <v>7</v>
      </c>
      <c r="G5" s="29">
        <f>18000*SQRT(G4)</f>
        <v>284604.98941515415</v>
      </c>
      <c r="K5" s="6"/>
      <c r="L5" s="7"/>
      <c r="M5" s="7"/>
      <c r="N5" s="19" t="s">
        <v>8</v>
      </c>
      <c r="O5" s="20">
        <f>C6</f>
        <v>5.333333333333333</v>
      </c>
      <c r="P5" s="21" t="str">
        <f>D6</f>
        <v>(daN/cm2)</v>
      </c>
      <c r="Q5" s="30" t="str">
        <f>E5</f>
        <v>Modulo elastico E</v>
      </c>
      <c r="R5" s="31" t="str">
        <f>F5</f>
        <v>(daN/cm2)</v>
      </c>
      <c r="S5" s="32">
        <f>G5</f>
        <v>284604.98941515415</v>
      </c>
      <c r="U5" s="6"/>
      <c r="W5" s="14"/>
      <c r="X5" s="14"/>
      <c r="Y5" s="14"/>
      <c r="Z5" s="33"/>
      <c r="AB5" s="14"/>
      <c r="AC5" s="34"/>
      <c r="AE5" s="14"/>
      <c r="AF5" s="14"/>
      <c r="AG5" s="14"/>
      <c r="AH5" s="14"/>
      <c r="AI5" s="33"/>
      <c r="AJ5" s="24"/>
      <c r="AK5" s="14"/>
      <c r="AL5" s="34"/>
    </row>
    <row r="6" spans="2:38" ht="13.5" thickBot="1">
      <c r="B6" s="25" t="s">
        <v>8</v>
      </c>
      <c r="C6" s="26">
        <f>4+($G$4-150)/75</f>
        <v>5.333333333333333</v>
      </c>
      <c r="D6" s="21" t="s">
        <v>3</v>
      </c>
      <c r="E6" s="212" t="s">
        <v>9</v>
      </c>
      <c r="F6" s="28" t="s">
        <v>7</v>
      </c>
      <c r="G6" s="210">
        <f>14+($G$4-150)/35</f>
        <v>16.857142857142858</v>
      </c>
      <c r="K6" s="6"/>
      <c r="L6" s="7"/>
      <c r="M6" s="7"/>
      <c r="N6" s="19" t="s">
        <v>9</v>
      </c>
      <c r="O6" s="20">
        <f>G6</f>
        <v>16.857142857142858</v>
      </c>
      <c r="P6" s="21" t="str">
        <f>D7</f>
        <v>(daN/cm2)</v>
      </c>
      <c r="Q6" s="30"/>
      <c r="R6" s="30"/>
      <c r="S6" s="1"/>
      <c r="U6" s="6"/>
      <c r="W6" s="14"/>
      <c r="X6" s="14"/>
      <c r="Y6" s="36"/>
      <c r="Z6" s="33"/>
      <c r="AA6" s="14"/>
      <c r="AB6" s="14"/>
      <c r="AC6" s="34"/>
      <c r="AE6" s="14"/>
      <c r="AF6" s="14"/>
      <c r="AG6" s="14"/>
      <c r="AH6" s="37"/>
      <c r="AI6" s="33"/>
      <c r="AJ6" s="14"/>
      <c r="AK6" s="14"/>
      <c r="AL6" s="34"/>
    </row>
    <row r="7" spans="2:38" ht="13.5" thickBot="1">
      <c r="B7" s="38" t="s">
        <v>10</v>
      </c>
      <c r="C7" s="39">
        <f>IF(G7=44,2600,(IF(G7=38,2200,IF(G7=32,1600,1200))))</f>
        <v>2600</v>
      </c>
      <c r="D7" s="40" t="s">
        <v>3</v>
      </c>
      <c r="E7" s="41" t="s">
        <v>11</v>
      </c>
      <c r="F7" s="41"/>
      <c r="G7" s="214">
        <v>44</v>
      </c>
      <c r="H7" s="104" t="s">
        <v>127</v>
      </c>
      <c r="K7" s="6"/>
      <c r="L7" s="7"/>
      <c r="M7" s="7"/>
      <c r="N7" s="19" t="s">
        <v>10</v>
      </c>
      <c r="O7" s="13">
        <f>C7</f>
        <v>2600</v>
      </c>
      <c r="P7" s="21" t="str">
        <f>D7</f>
        <v>(daN/cm2)</v>
      </c>
      <c r="Q7" s="22" t="str">
        <f>E7</f>
        <v>Acciaio</v>
      </c>
      <c r="R7" s="22"/>
      <c r="S7" s="42">
        <f>G7</f>
        <v>44</v>
      </c>
      <c r="U7" s="6"/>
      <c r="W7" s="14"/>
      <c r="X7" s="14"/>
      <c r="Y7" s="36"/>
      <c r="Z7" s="33"/>
      <c r="AA7" s="14"/>
      <c r="AB7" s="14"/>
      <c r="AC7" s="43"/>
      <c r="AE7" s="14"/>
      <c r="AF7" s="14"/>
      <c r="AG7" s="14"/>
      <c r="AH7" s="37"/>
      <c r="AI7" s="33"/>
      <c r="AJ7" s="14"/>
      <c r="AK7" s="14"/>
      <c r="AL7" s="44"/>
    </row>
    <row r="8" spans="1:40" s="47" customFormat="1" ht="15.75" customHeight="1" thickBot="1">
      <c r="A8" s="45"/>
      <c r="B8" s="4" t="str">
        <f>IF((G9*G10)&gt;0,"SEZIONE a T","SEZIONE RETTANGOLARE ")</f>
        <v>SEZIONE a T</v>
      </c>
      <c r="C8" s="46"/>
      <c r="D8" s="213"/>
      <c r="F8" s="30" t="s">
        <v>125</v>
      </c>
      <c r="G8" s="211">
        <v>1</v>
      </c>
      <c r="I8" s="45"/>
      <c r="J8" s="45"/>
      <c r="K8" s="48"/>
      <c r="L8" s="45"/>
      <c r="M8" s="45"/>
      <c r="N8" s="49" t="str">
        <f aca="true" t="shared" si="0" ref="N8:P20">B8</f>
        <v>SEZIONE a T</v>
      </c>
      <c r="O8" s="46"/>
      <c r="P8" s="45"/>
      <c r="Q8" s="50"/>
      <c r="R8" s="50"/>
      <c r="S8" s="45"/>
      <c r="T8"/>
      <c r="U8" s="6"/>
      <c r="W8" s="14"/>
      <c r="X8" s="14"/>
      <c r="Y8" s="14"/>
      <c r="Z8" s="14"/>
      <c r="AA8" s="36"/>
      <c r="AB8" s="33"/>
      <c r="AC8" s="14"/>
      <c r="AD8" s="14"/>
      <c r="AE8" s="221"/>
      <c r="AF8"/>
      <c r="AG8" s="14"/>
      <c r="AH8" s="14"/>
      <c r="AI8" s="14"/>
      <c r="AJ8" s="37"/>
      <c r="AK8" s="33"/>
      <c r="AL8" s="14"/>
      <c r="AM8" s="14"/>
      <c r="AN8" s="220"/>
    </row>
    <row r="9" spans="2:40" ht="12.75">
      <c r="B9" s="51" t="s">
        <v>12</v>
      </c>
      <c r="C9" s="17" t="s">
        <v>13</v>
      </c>
      <c r="D9" s="216">
        <v>25</v>
      </c>
      <c r="E9" s="52" t="s">
        <v>14</v>
      </c>
      <c r="F9" s="17" t="s">
        <v>15</v>
      </c>
      <c r="G9" s="217">
        <v>5</v>
      </c>
      <c r="H9" s="53">
        <f>IF(D9&lt;D14/0.25,"NB: H &lt; L/25="&amp;(D14/0.25),"")</f>
      </c>
      <c r="I9" s="5"/>
      <c r="K9" s="6"/>
      <c r="L9" s="7"/>
      <c r="M9" s="7"/>
      <c r="N9" s="54" t="str">
        <f t="shared" si="0"/>
        <v>Altezza sezione</v>
      </c>
      <c r="O9" s="21" t="str">
        <f t="shared" si="0"/>
        <v>H (cm)</v>
      </c>
      <c r="P9" s="168">
        <f t="shared" si="0"/>
        <v>25</v>
      </c>
      <c r="Q9" s="56" t="str">
        <f aca="true" t="shared" si="1" ref="Q9:S10">IF(($G$9*$G$10)&gt;0,E9,"")</f>
        <v>Sez.T: spes. soletta </v>
      </c>
      <c r="R9" s="21" t="str">
        <f t="shared" si="1"/>
        <v> Ss (cm)</v>
      </c>
      <c r="S9" s="168">
        <f t="shared" si="1"/>
        <v>5</v>
      </c>
      <c r="U9" s="6"/>
      <c r="W9" s="14"/>
      <c r="X9" s="14"/>
      <c r="Y9" s="14"/>
      <c r="Z9" s="14"/>
      <c r="AA9" s="14"/>
      <c r="AB9" s="14"/>
      <c r="AC9" s="14"/>
      <c r="AD9" s="14"/>
      <c r="AE9" s="221"/>
      <c r="AG9" s="14"/>
      <c r="AH9" s="14"/>
      <c r="AI9" s="14"/>
      <c r="AJ9" s="14"/>
      <c r="AK9" s="14"/>
      <c r="AL9" s="14"/>
      <c r="AM9" s="14"/>
      <c r="AN9" s="220"/>
    </row>
    <row r="10" spans="2:40" ht="13.5" thickBot="1">
      <c r="B10" s="57" t="s">
        <v>16</v>
      </c>
      <c r="C10" s="21" t="s">
        <v>17</v>
      </c>
      <c r="D10" s="58">
        <v>50</v>
      </c>
      <c r="E10" s="27" t="s">
        <v>18</v>
      </c>
      <c r="F10" s="59" t="s">
        <v>19</v>
      </c>
      <c r="G10" s="218">
        <v>10</v>
      </c>
      <c r="H10" s="166" t="str">
        <f>IF(OR((G9&gt;D9),(G10&gt;D10)),"ERRORE: S&gt;h  o  Bo&gt;B"," ")</f>
        <v> </v>
      </c>
      <c r="K10" s="6"/>
      <c r="L10" s="7"/>
      <c r="M10" s="7"/>
      <c r="N10" s="54" t="str">
        <f t="shared" si="0"/>
        <v>Base sezione</v>
      </c>
      <c r="O10" s="21" t="str">
        <f t="shared" si="0"/>
        <v>B (cm)</v>
      </c>
      <c r="P10" s="168">
        <f t="shared" si="0"/>
        <v>50</v>
      </c>
      <c r="Q10" s="56" t="str">
        <f t="shared" si="1"/>
        <v>Sez.T: Base travetto</v>
      </c>
      <c r="R10" s="21" t="str">
        <f t="shared" si="1"/>
        <v>bo (cm)</v>
      </c>
      <c r="S10" s="168">
        <f t="shared" si="1"/>
        <v>10</v>
      </c>
      <c r="U10" s="6"/>
      <c r="W10" s="14"/>
      <c r="X10" s="14"/>
      <c r="Y10" s="14"/>
      <c r="Z10" s="14"/>
      <c r="AA10" s="14"/>
      <c r="AB10" s="14"/>
      <c r="AC10" s="14"/>
      <c r="AD10" s="14"/>
      <c r="AE10" s="221"/>
      <c r="AG10" s="14"/>
      <c r="AH10" s="14"/>
      <c r="AI10" s="14"/>
      <c r="AJ10" s="14"/>
      <c r="AK10" s="14"/>
      <c r="AL10" s="14"/>
      <c r="AM10" s="14"/>
      <c r="AN10" s="220"/>
    </row>
    <row r="11" spans="2:40" ht="12.75">
      <c r="B11" s="57" t="s">
        <v>20</v>
      </c>
      <c r="C11" s="21" t="s">
        <v>21</v>
      </c>
      <c r="D11" s="60">
        <v>2</v>
      </c>
      <c r="E11" s="61" t="s">
        <v>22</v>
      </c>
      <c r="F11" s="17" t="s">
        <v>21</v>
      </c>
      <c r="G11" s="62">
        <f>IF(OR(G10=0,G9=0),D10,G10)</f>
        <v>10</v>
      </c>
      <c r="I11" s="5"/>
      <c r="K11" s="6"/>
      <c r="L11" s="7"/>
      <c r="M11" s="7"/>
      <c r="N11" s="54" t="str">
        <f t="shared" si="0"/>
        <v>Copriferro superiore</v>
      </c>
      <c r="O11" s="21" t="str">
        <f t="shared" si="0"/>
        <v>(cm)</v>
      </c>
      <c r="P11" s="168">
        <f t="shared" si="0"/>
        <v>2</v>
      </c>
      <c r="Q11" s="55" t="str">
        <f>IF(($G$9*$G$10)&gt;0,E11,E12)</f>
        <v>Base inferiore sez.</v>
      </c>
      <c r="R11" s="63" t="str">
        <f>IF(($G$9*$G$10)&gt;0,F11,F12)</f>
        <v>(cm)</v>
      </c>
      <c r="S11" s="169">
        <f>IF(($G$9*$G$10)&gt;0,G11,G12)</f>
        <v>10</v>
      </c>
      <c r="U11" s="6"/>
      <c r="W11" s="14"/>
      <c r="X11" s="64"/>
      <c r="Y11" s="65"/>
      <c r="Z11" s="66"/>
      <c r="AC11" s="67"/>
      <c r="AD11" s="14"/>
      <c r="AE11" s="14"/>
      <c r="AG11" s="64"/>
      <c r="AH11" s="68"/>
      <c r="AI11" s="66"/>
      <c r="AJ11" s="24"/>
      <c r="AK11" s="24"/>
      <c r="AL11" s="67"/>
      <c r="AM11" s="14"/>
      <c r="AN11" s="14"/>
    </row>
    <row r="12" spans="1:40" s="47" customFormat="1" ht="13.5" thickBot="1">
      <c r="A12" s="45"/>
      <c r="B12" s="69" t="s">
        <v>23</v>
      </c>
      <c r="C12" s="35" t="s">
        <v>21</v>
      </c>
      <c r="D12" s="70">
        <v>2</v>
      </c>
      <c r="E12" s="71" t="s">
        <v>24</v>
      </c>
      <c r="F12" s="35" t="s">
        <v>25</v>
      </c>
      <c r="G12" s="72">
        <f>((D10*D9^2-(D10-G11)*(D9-G9)^2)^2-4*D9*D10*(D10-G11)*(D9-G9)*(D9-(D9-G9))^2)/(D10*D9-(D10-G11)*(D9-G9))/12</f>
        <v>24548.61111111111</v>
      </c>
      <c r="K12" s="48"/>
      <c r="L12" s="45"/>
      <c r="M12" s="45"/>
      <c r="N12" s="54" t="str">
        <f t="shared" si="0"/>
        <v>Copriferro inferiore</v>
      </c>
      <c r="O12" s="21" t="str">
        <f t="shared" si="0"/>
        <v>(cm)</v>
      </c>
      <c r="P12" s="168">
        <f t="shared" si="0"/>
        <v>2</v>
      </c>
      <c r="Q12" s="55" t="str">
        <f>IF(($G$9*$G$10)&gt;0,E12,"")</f>
        <v>  mom. inerzia sez.</v>
      </c>
      <c r="R12" s="63" t="str">
        <f>IF(($G$9*$G$10)&gt;0,F12,"")</f>
        <v>(cm4)</v>
      </c>
      <c r="S12" s="169">
        <f>IF(($G$9*$G$10)&gt;0,G12,"")</f>
        <v>24548.61111111111</v>
      </c>
      <c r="U12" s="6"/>
      <c r="W12" s="14"/>
      <c r="X12" s="14"/>
      <c r="Y12" s="14"/>
      <c r="Z12" s="14"/>
      <c r="AA12" s="73"/>
      <c r="AB12" s="14"/>
      <c r="AC12" s="14"/>
      <c r="AD12" s="14"/>
      <c r="AE12" s="14"/>
      <c r="AF12"/>
      <c r="AG12" s="14"/>
      <c r="AH12" s="14"/>
      <c r="AI12" s="14"/>
      <c r="AJ12" s="74"/>
      <c r="AK12" s="14"/>
      <c r="AL12" s="14"/>
      <c r="AM12" s="14"/>
      <c r="AN12" s="14"/>
    </row>
    <row r="13" spans="1:40" s="47" customFormat="1" ht="13.5" thickBot="1">
      <c r="A13" s="45"/>
      <c r="B13" s="69" t="s">
        <v>139</v>
      </c>
      <c r="C13" s="35" t="s">
        <v>21</v>
      </c>
      <c r="D13" s="70">
        <v>0</v>
      </c>
      <c r="E13" s="78" t="str">
        <f>IF((G9*G10)&gt;0,"Largh. Fascia piena","Ascissa in campata")</f>
        <v>Largh. Fascia piena</v>
      </c>
      <c r="F13" s="40" t="str">
        <f>IF((G9*G10)&gt;0,"Fp (cm)","(cm)")</f>
        <v>Fp (cm)</v>
      </c>
      <c r="G13" s="79">
        <v>0</v>
      </c>
      <c r="H13" s="166">
        <f>IF(G13&gt;D14*25,"NB: Ascissa &gt; L/4","")</f>
      </c>
      <c r="K13" s="48"/>
      <c r="L13" s="45"/>
      <c r="M13" s="45"/>
      <c r="N13" s="54" t="str">
        <f t="shared" si="0"/>
        <v>Larghezza Appoggio</v>
      </c>
      <c r="O13" s="21" t="str">
        <f t="shared" si="0"/>
        <v>(cm)</v>
      </c>
      <c r="P13" s="168">
        <f t="shared" si="0"/>
        <v>0</v>
      </c>
      <c r="Q13" s="80">
        <f>IF($G$13&gt;0,E13,"")</f>
      </c>
      <c r="R13" s="21">
        <f>IF($G$13&gt;0,F13,"")</f>
      </c>
      <c r="S13" s="80">
        <f>IF($G$13&gt;0,G13,"")</f>
      </c>
      <c r="U13" s="6"/>
      <c r="W13" s="14"/>
      <c r="X13" s="14"/>
      <c r="Y13" s="14"/>
      <c r="Z13" s="14"/>
      <c r="AA13" s="73"/>
      <c r="AB13" s="14"/>
      <c r="AC13" s="14"/>
      <c r="AD13" s="14"/>
      <c r="AE13" s="14"/>
      <c r="AF13"/>
      <c r="AG13" s="14"/>
      <c r="AH13" s="14"/>
      <c r="AI13" s="14"/>
      <c r="AJ13" s="74"/>
      <c r="AK13" s="14"/>
      <c r="AL13" s="14"/>
      <c r="AM13" s="14"/>
      <c r="AN13" s="14"/>
    </row>
    <row r="14" spans="2:40" ht="13.5" thickBot="1">
      <c r="B14" s="75" t="s">
        <v>26</v>
      </c>
      <c r="C14" s="76" t="s">
        <v>27</v>
      </c>
      <c r="D14" s="77">
        <v>4.5</v>
      </c>
      <c r="E14" s="164" t="s">
        <v>114</v>
      </c>
      <c r="F14" s="163"/>
      <c r="G14" s="219">
        <v>0</v>
      </c>
      <c r="H14" s="165" t="s">
        <v>128</v>
      </c>
      <c r="I14" s="166">
        <f>IF(G14&gt;1,"NB: Kv = 0,2-0,4","")</f>
      </c>
      <c r="K14" s="6"/>
      <c r="L14" s="7"/>
      <c r="M14" s="7"/>
      <c r="N14" s="13" t="str">
        <f t="shared" si="0"/>
        <v>Luce di calcolo</v>
      </c>
      <c r="O14" s="21" t="str">
        <f t="shared" si="0"/>
        <v>L (m)</v>
      </c>
      <c r="P14" s="108">
        <f t="shared" si="0"/>
        <v>4.5</v>
      </c>
      <c r="Q14" s="81">
        <f>IF($G$14&gt;0,E14,"")</f>
      </c>
      <c r="R14" s="21"/>
      <c r="S14" s="80">
        <f>IF($G$14&gt;0,G14,"")</f>
      </c>
      <c r="U14" s="6"/>
      <c r="W14" s="14"/>
      <c r="X14" s="14"/>
      <c r="Y14" s="14"/>
      <c r="Z14" s="14"/>
      <c r="AA14" s="14"/>
      <c r="AB14" s="14"/>
      <c r="AC14" s="14"/>
      <c r="AD14" s="14"/>
      <c r="AE14" s="14"/>
      <c r="AG14" s="14"/>
      <c r="AH14" s="14"/>
      <c r="AI14" s="14"/>
      <c r="AJ14" s="14"/>
      <c r="AK14" s="14"/>
      <c r="AL14" s="14"/>
      <c r="AM14" s="14"/>
      <c r="AN14" s="14"/>
    </row>
    <row r="15" spans="2:40" ht="13.5" thickBot="1">
      <c r="B15" s="13" t="s">
        <v>28</v>
      </c>
      <c r="C15" s="82"/>
      <c r="E15" s="5"/>
      <c r="F15" s="94"/>
      <c r="G15" s="94"/>
      <c r="H15" s="165"/>
      <c r="I15" s="201" t="s">
        <v>123</v>
      </c>
      <c r="K15" s="6"/>
      <c r="L15" s="7"/>
      <c r="M15" s="7"/>
      <c r="N15" s="13" t="str">
        <f t="shared" si="0"/>
        <v>CARICHI RIPARTITI:</v>
      </c>
      <c r="O15" s="82"/>
      <c r="P15" s="1"/>
      <c r="Q15" s="81"/>
      <c r="R15" s="21"/>
      <c r="S15" s="80"/>
      <c r="U15" s="6"/>
      <c r="W15" s="14"/>
      <c r="X15" s="14"/>
      <c r="Y15" s="14"/>
      <c r="Z15" s="14"/>
      <c r="AA15" s="14"/>
      <c r="AB15" s="14"/>
      <c r="AC15" s="14"/>
      <c r="AD15" s="14"/>
      <c r="AE15" s="14"/>
      <c r="AG15" s="14"/>
      <c r="AH15" s="14"/>
      <c r="AI15" s="14"/>
      <c r="AJ15" s="14"/>
      <c r="AK15" s="14"/>
      <c r="AL15" s="14"/>
      <c r="AM15" s="14"/>
      <c r="AN15" s="14"/>
    </row>
    <row r="16" spans="2:23" ht="15" customHeight="1">
      <c r="B16" s="56" t="s">
        <v>29</v>
      </c>
      <c r="C16" s="56"/>
      <c r="D16" s="21" t="s">
        <v>30</v>
      </c>
      <c r="E16" s="84">
        <v>500</v>
      </c>
      <c r="F16" s="80"/>
      <c r="H16" s="85" t="s">
        <v>31</v>
      </c>
      <c r="I16" s="86">
        <v>2500</v>
      </c>
      <c r="J16" s="87" t="s">
        <v>32</v>
      </c>
      <c r="K16" s="6"/>
      <c r="L16" s="7"/>
      <c r="M16" s="7"/>
      <c r="N16" s="56" t="str">
        <f t="shared" si="0"/>
        <v>Carico permanente distrib.</v>
      </c>
      <c r="O16" s="56"/>
      <c r="P16" s="21" t="str">
        <f aca="true" t="shared" si="2" ref="P16:R31">D16</f>
        <v>(daN/m2)</v>
      </c>
      <c r="Q16" s="80">
        <f t="shared" si="2"/>
        <v>500</v>
      </c>
      <c r="R16" s="80"/>
      <c r="S16" s="80"/>
      <c r="U16" s="6"/>
      <c r="W16" s="14"/>
    </row>
    <row r="17" spans="2:23" ht="13.5" thickBot="1">
      <c r="B17" s="56" t="s">
        <v>33</v>
      </c>
      <c r="C17" s="56"/>
      <c r="D17" s="21" t="s">
        <v>30</v>
      </c>
      <c r="E17" s="84">
        <v>200</v>
      </c>
      <c r="F17" s="80"/>
      <c r="H17" s="88" t="s">
        <v>34</v>
      </c>
      <c r="I17" s="89">
        <v>600</v>
      </c>
      <c r="J17" s="90" t="s">
        <v>32</v>
      </c>
      <c r="K17" s="6"/>
      <c r="L17" s="7"/>
      <c r="M17" s="7"/>
      <c r="N17" s="56" t="str">
        <f t="shared" si="0"/>
        <v>Carico accidentale disctrib.</v>
      </c>
      <c r="O17" s="56"/>
      <c r="P17" s="21" t="str">
        <f t="shared" si="2"/>
        <v>(daN/m2)</v>
      </c>
      <c r="Q17" s="80">
        <f t="shared" si="2"/>
        <v>200</v>
      </c>
      <c r="R17" s="80"/>
      <c r="S17" s="80"/>
      <c r="U17" s="6"/>
      <c r="W17" s="14"/>
    </row>
    <row r="18" spans="2:23" ht="13.5" thickBot="1">
      <c r="B18" s="56" t="s">
        <v>135</v>
      </c>
      <c r="C18" s="56"/>
      <c r="D18" s="21" t="s">
        <v>35</v>
      </c>
      <c r="E18" s="84">
        <v>0.5</v>
      </c>
      <c r="F18" s="205" t="str">
        <f>IF(E18=(D10/100)," ","Base sez.="&amp;D10/100)</f>
        <v> </v>
      </c>
      <c r="H18" s="93" t="s">
        <v>36</v>
      </c>
      <c r="I18" s="94"/>
      <c r="J18" s="95"/>
      <c r="K18" s="6"/>
      <c r="L18" s="7"/>
      <c r="M18" s="7"/>
      <c r="N18" s="56" t="str">
        <f t="shared" si="0"/>
        <v>Larghezza area di carico</v>
      </c>
      <c r="O18" s="56"/>
      <c r="P18" s="21" t="str">
        <f t="shared" si="2"/>
        <v>(m)</v>
      </c>
      <c r="Q18" s="92">
        <f t="shared" si="2"/>
        <v>0.5</v>
      </c>
      <c r="R18" s="80"/>
      <c r="S18" s="80"/>
      <c r="U18" s="6"/>
      <c r="W18" s="14"/>
    </row>
    <row r="19" spans="2:23" ht="13.5" thickBot="1">
      <c r="B19" s="56" t="s">
        <v>37</v>
      </c>
      <c r="C19" s="56"/>
      <c r="D19" s="21" t="s">
        <v>38</v>
      </c>
      <c r="E19" s="84">
        <v>0</v>
      </c>
      <c r="F19" s="80"/>
      <c r="H19" s="96" t="s">
        <v>39</v>
      </c>
      <c r="I19" s="170">
        <f>IF((G9*G10)&gt;0,((G10*I16+(D10-G10)*I17)*(D9-G9)/D10+G9*I16)/100,D9*I16/100)</f>
        <v>321</v>
      </c>
      <c r="J19" s="97" t="s">
        <v>30</v>
      </c>
      <c r="K19" s="6"/>
      <c r="L19" s="7"/>
      <c r="M19" s="7"/>
      <c r="N19" s="56" t="str">
        <f t="shared" si="0"/>
        <v>Carico lineare uniforme perm.</v>
      </c>
      <c r="O19" s="56"/>
      <c r="P19" s="21" t="str">
        <f t="shared" si="2"/>
        <v>(daN/m)</v>
      </c>
      <c r="Q19" s="80">
        <f t="shared" si="2"/>
        <v>0</v>
      </c>
      <c r="R19" s="80"/>
      <c r="S19" s="80"/>
      <c r="U19" s="6"/>
      <c r="W19" s="14"/>
    </row>
    <row r="20" spans="2:21" ht="24" customHeight="1">
      <c r="B20" s="13" t="s">
        <v>40</v>
      </c>
      <c r="C20" s="56"/>
      <c r="D20" s="21" t="s">
        <v>41</v>
      </c>
      <c r="E20" s="99" t="str">
        <f>IF(G8=2,"",IF((G9*G10)&gt;0,"Mezzeria sez. T","Mezzeria 
sez. Ret."))</f>
        <v>Mezzeria sez. T</v>
      </c>
      <c r="F20" s="99" t="str">
        <f>IF(G13&gt;0,IF((G9*G10)&gt;0,"A filo Fascia Piena","In campata "),IF(G8=2,"Incastro","Filo Appoggio"))</f>
        <v>Filo Appoggio</v>
      </c>
      <c r="G20" s="99">
        <f>IF(G8=2,"Filo Incastro",IF(G13&gt;0,"Filo Appoggio"&amp;(IF(G9*G10&gt;0," sez. piena","")),""))</f>
      </c>
      <c r="H20" s="99" t="s">
        <v>140</v>
      </c>
      <c r="K20" s="6"/>
      <c r="L20" s="7"/>
      <c r="M20" s="7"/>
      <c r="N20" s="99" t="str">
        <f t="shared" si="0"/>
        <v>SOLLECITAZIONI:</v>
      </c>
      <c r="O20" s="56"/>
      <c r="P20" s="100" t="str">
        <f t="shared" si="2"/>
        <v>SEZIONE:</v>
      </c>
      <c r="Q20" s="99" t="str">
        <f>IF($G$8&lt;&gt;2,E20,"")</f>
        <v>Mezzeria sez. T</v>
      </c>
      <c r="R20" s="99" t="str">
        <f t="shared" si="2"/>
        <v>Filo Appoggio</v>
      </c>
      <c r="S20" s="98">
        <f>IF($G$13&gt;0,G20,"")</f>
      </c>
      <c r="U20" s="6"/>
    </row>
    <row r="21" spans="3:21" ht="13.5" customHeight="1">
      <c r="C21" s="101" t="s">
        <v>42</v>
      </c>
      <c r="D21" s="21" t="s">
        <v>21</v>
      </c>
      <c r="E21" s="98">
        <f>IF(G8=2,"",D14/2*100)</f>
        <v>225</v>
      </c>
      <c r="F21" s="98">
        <f>G13+D13</f>
        <v>0</v>
      </c>
      <c r="G21" s="98">
        <f>D13</f>
        <v>0</v>
      </c>
      <c r="H21" s="98">
        <v>0</v>
      </c>
      <c r="K21" s="6"/>
      <c r="L21" s="7"/>
      <c r="M21" s="7"/>
      <c r="N21" s="7"/>
      <c r="O21" s="102" t="str">
        <f>C21</f>
        <v>ascissa</v>
      </c>
      <c r="P21" s="102" t="str">
        <f t="shared" si="2"/>
        <v>(cm)</v>
      </c>
      <c r="Q21" s="103">
        <f aca="true" t="shared" si="3" ref="Q21:Q49">IF($G$8&lt;&gt;2,E21,"")</f>
        <v>225</v>
      </c>
      <c r="R21" s="103">
        <f t="shared" si="2"/>
        <v>0</v>
      </c>
      <c r="S21" s="103">
        <f aca="true" t="shared" si="4" ref="S21:S54">IF($G$13&gt;0,G21,"")</f>
      </c>
      <c r="U21" s="6"/>
    </row>
    <row r="22" spans="2:21" ht="12.75">
      <c r="B22" s="171" t="s">
        <v>117</v>
      </c>
      <c r="C22" s="56"/>
      <c r="D22" s="21" t="s">
        <v>38</v>
      </c>
      <c r="E22" s="94">
        <f>IF(G8=2,0,((E17+E16)*E18+E19)*(1+G14))</f>
        <v>350</v>
      </c>
      <c r="F22" s="94">
        <f>((E17+E16)*E18+E19)*(1+G14)</f>
        <v>350</v>
      </c>
      <c r="G22" s="94">
        <f>((E17+E16)*E18+E19)*(1+G14)</f>
        <v>350</v>
      </c>
      <c r="K22" s="6"/>
      <c r="L22" s="7"/>
      <c r="M22" s="7"/>
      <c r="N22" s="171" t="str">
        <f>B22</f>
        <v>Carico ripartito Tot.     (q)</v>
      </c>
      <c r="O22" s="56"/>
      <c r="P22" s="21" t="str">
        <f>D22</f>
        <v>(daN/m)</v>
      </c>
      <c r="Q22" s="94">
        <f t="shared" si="3"/>
        <v>350</v>
      </c>
      <c r="R22" s="94">
        <f t="shared" si="2"/>
        <v>350</v>
      </c>
      <c r="S22" s="94">
        <f t="shared" si="4"/>
      </c>
      <c r="U22" s="6"/>
    </row>
    <row r="23" spans="2:21" ht="12.75">
      <c r="B23" s="56" t="s">
        <v>43</v>
      </c>
      <c r="C23" s="56"/>
      <c r="D23" s="105" t="s">
        <v>44</v>
      </c>
      <c r="E23" s="58">
        <v>8</v>
      </c>
      <c r="F23" s="106">
        <f>1/($F$21/100/$D$14/H25+1/H23-($F$21/100/$D$14)^2/2)</f>
        <v>-18</v>
      </c>
      <c r="G23" s="106">
        <f>1/($G$21/100/$D$14/H25+1/H23-($G$21/100/$D$14)^2/2)</f>
        <v>-18</v>
      </c>
      <c r="H23" s="58">
        <v>-18</v>
      </c>
      <c r="I23" s="107">
        <f>IF(OR(E23&lt;0,H23&gt;0),"ERRORE di segno","")</f>
      </c>
      <c r="K23" s="6"/>
      <c r="L23" s="7"/>
      <c r="M23" s="7"/>
      <c r="N23" s="56" t="str">
        <f>B23</f>
        <v>Coeff. Momento</v>
      </c>
      <c r="O23" s="56"/>
      <c r="P23" s="105" t="str">
        <f t="shared" si="2"/>
        <v>q L^2/..</v>
      </c>
      <c r="Q23" s="108">
        <f t="shared" si="3"/>
        <v>8</v>
      </c>
      <c r="R23" s="108">
        <f t="shared" si="2"/>
        <v>-18</v>
      </c>
      <c r="S23" s="108">
        <f>IF($G$13&gt;0,H23,"")</f>
      </c>
      <c r="U23" s="6"/>
    </row>
    <row r="24" spans="2:21" ht="12.75">
      <c r="B24" s="109" t="s">
        <v>47</v>
      </c>
      <c r="C24" s="56"/>
      <c r="D24" s="21" t="s">
        <v>48</v>
      </c>
      <c r="E24" s="110">
        <f>IF(G8=2,0,E22*D14^2/E23)</f>
        <v>885.9375</v>
      </c>
      <c r="F24" s="110">
        <f>F22*D14^2/F23</f>
        <v>-393.75</v>
      </c>
      <c r="G24" s="110">
        <f>G22*D14^2/G23</f>
        <v>-393.75</v>
      </c>
      <c r="H24" s="27">
        <f>1/IF((0.5/H25+1/H23-(0.5)^2/2)=0,0.00000001,(0.5/H25+1/H23-(0.5)^2/2))</f>
        <v>14.399999999999999</v>
      </c>
      <c r="I24" s="111" t="s">
        <v>49</v>
      </c>
      <c r="J24" s="112">
        <f>E22*D14*D14/(G24/2+G24*G24/2/G22/D14/D14+G22*D14*D14/8)</f>
        <v>10.125</v>
      </c>
      <c r="K24" s="6"/>
      <c r="L24" s="7"/>
      <c r="M24" s="7"/>
      <c r="N24" s="109" t="str">
        <f>B24</f>
        <v>Momento</v>
      </c>
      <c r="O24" s="56"/>
      <c r="P24" s="21" t="str">
        <f t="shared" si="2"/>
        <v>(daN m)</v>
      </c>
      <c r="Q24" s="110">
        <f t="shared" si="3"/>
        <v>885.9375</v>
      </c>
      <c r="R24" s="110">
        <f t="shared" si="2"/>
        <v>-393.75</v>
      </c>
      <c r="S24" s="110">
        <f t="shared" si="4"/>
      </c>
      <c r="U24" s="6"/>
    </row>
    <row r="25" spans="2:21" ht="12.75">
      <c r="B25" s="56" t="s">
        <v>50</v>
      </c>
      <c r="C25" s="56"/>
      <c r="D25" s="105" t="s">
        <v>51</v>
      </c>
      <c r="E25" s="58">
        <v>0</v>
      </c>
      <c r="F25" s="106">
        <f>-1/($F$21/100/$D$14-1/H25)</f>
        <v>2</v>
      </c>
      <c r="G25" s="106">
        <f>-1/($G$21/100/$D$14-1/H25)</f>
        <v>2</v>
      </c>
      <c r="H25" s="58">
        <v>2</v>
      </c>
      <c r="I25" s="107">
        <f>IF(OR(E25&lt;0,H25&lt;0),"ERRORE di segno","")</f>
      </c>
      <c r="K25" s="6"/>
      <c r="L25" s="7"/>
      <c r="M25" s="7"/>
      <c r="N25" s="56" t="str">
        <f>B25</f>
        <v>Coeff. Taglio</v>
      </c>
      <c r="O25" s="56"/>
      <c r="P25" s="105" t="str">
        <f t="shared" si="2"/>
        <v>q L /..</v>
      </c>
      <c r="Q25" s="108">
        <f t="shared" si="3"/>
        <v>0</v>
      </c>
      <c r="R25" s="108">
        <f t="shared" si="2"/>
        <v>2</v>
      </c>
      <c r="S25" s="108">
        <f>IF($G$13&gt;0,H25,"")</f>
      </c>
      <c r="U25" s="6"/>
    </row>
    <row r="26" spans="2:21" ht="13.5" thickBot="1">
      <c r="B26" s="109" t="s">
        <v>52</v>
      </c>
      <c r="C26" s="56"/>
      <c r="D26" s="21" t="s">
        <v>53</v>
      </c>
      <c r="E26" s="113">
        <f>IF(G8=2,0,IF(E25=0,0,E22*D14/E25))</f>
        <v>0</v>
      </c>
      <c r="F26" s="110">
        <f>IF(F25=0,0,F22*D14/F25)</f>
        <v>787.5</v>
      </c>
      <c r="G26" s="110">
        <f>IF(G25=0,0,G22*D14/G25)</f>
        <v>787.5</v>
      </c>
      <c r="H26" s="104" t="s">
        <v>141</v>
      </c>
      <c r="I26" s="208" t="s">
        <v>45</v>
      </c>
      <c r="J26" s="104" t="s">
        <v>46</v>
      </c>
      <c r="K26" s="6"/>
      <c r="L26" s="7"/>
      <c r="M26" s="7"/>
      <c r="N26" s="109" t="str">
        <f>B26</f>
        <v>Taglio </v>
      </c>
      <c r="O26" s="56"/>
      <c r="P26" s="21" t="str">
        <f t="shared" si="2"/>
        <v>(daN)</v>
      </c>
      <c r="Q26" s="113">
        <f t="shared" si="3"/>
        <v>0</v>
      </c>
      <c r="R26" s="113">
        <f t="shared" si="2"/>
        <v>787.5</v>
      </c>
      <c r="S26" s="113">
        <f t="shared" si="4"/>
      </c>
      <c r="U26" s="6"/>
    </row>
    <row r="27" spans="2:21" ht="15" customHeight="1" thickBot="1">
      <c r="B27" s="171" t="s">
        <v>118</v>
      </c>
      <c r="C27" s="56"/>
      <c r="D27" s="21" t="s">
        <v>53</v>
      </c>
      <c r="E27" s="80">
        <f>IF(G8=2,0,F27)</f>
        <v>0</v>
      </c>
      <c r="F27" s="114"/>
      <c r="G27" s="80">
        <f>F27</f>
        <v>0</v>
      </c>
      <c r="I27" s="201" t="s">
        <v>142</v>
      </c>
      <c r="J27" s="209" t="s">
        <v>143</v>
      </c>
      <c r="K27" s="6"/>
      <c r="L27" s="7"/>
      <c r="M27" s="7"/>
      <c r="N27" s="171" t="str">
        <f aca="true" t="shared" si="5" ref="N27:N45">B27</f>
        <v>Carico perm. conc.      (P) </v>
      </c>
      <c r="O27" s="56"/>
      <c r="P27" s="21" t="str">
        <f>D27</f>
        <v>(daN)</v>
      </c>
      <c r="Q27" s="80">
        <f t="shared" si="3"/>
        <v>0</v>
      </c>
      <c r="R27" s="80">
        <f t="shared" si="2"/>
        <v>0</v>
      </c>
      <c r="S27" s="80">
        <f t="shared" si="4"/>
      </c>
      <c r="U27" s="6"/>
    </row>
    <row r="28" spans="2:21" ht="12.75">
      <c r="B28" s="56" t="s">
        <v>43</v>
      </c>
      <c r="C28" s="56"/>
      <c r="D28" s="105" t="s">
        <v>54</v>
      </c>
      <c r="E28" s="58">
        <v>4</v>
      </c>
      <c r="F28" s="106">
        <f>1/($F$21/100/$D$14/H30+1/H28)</f>
        <v>-1</v>
      </c>
      <c r="G28" s="106">
        <f>1/($G$21/100/$D$14/H30+1/H28)</f>
        <v>-1</v>
      </c>
      <c r="H28" s="58">
        <v>-1</v>
      </c>
      <c r="I28" s="107">
        <f>IF(OR(E28&lt;0,H28&gt;0),"ERRORE di segno","")</f>
      </c>
      <c r="K28" s="6"/>
      <c r="L28" s="7"/>
      <c r="M28" s="7"/>
      <c r="N28" s="56" t="str">
        <f t="shared" si="5"/>
        <v>Coeff. Momento</v>
      </c>
      <c r="O28" s="56"/>
      <c r="P28" s="105" t="str">
        <f>D28</f>
        <v>P L /..</v>
      </c>
      <c r="Q28" s="108">
        <f t="shared" si="3"/>
        <v>4</v>
      </c>
      <c r="R28" s="108">
        <f t="shared" si="2"/>
        <v>-1</v>
      </c>
      <c r="S28" s="108">
        <f>IF($G$13&gt;0,H28,"")</f>
      </c>
      <c r="U28" s="6"/>
    </row>
    <row r="29" spans="2:21" ht="12.75">
      <c r="B29" s="109" t="s">
        <v>55</v>
      </c>
      <c r="C29" s="56"/>
      <c r="D29" s="21" t="s">
        <v>48</v>
      </c>
      <c r="E29" s="110">
        <f>IF(G8=2,0,E27*D14/E28*(1+G14))</f>
        <v>0</v>
      </c>
      <c r="F29" s="110">
        <f>F27*D14/F28*(1+G14)</f>
        <v>0</v>
      </c>
      <c r="G29" s="110">
        <f>G27*D14/H28*(1+G14)</f>
        <v>0</v>
      </c>
      <c r="H29" s="111" t="s">
        <v>56</v>
      </c>
      <c r="I29" s="115">
        <f>1/IF((0.5/H30+1/H28)=0,0.00000001,(0.5/H30+1/H28))</f>
        <v>-2</v>
      </c>
      <c r="K29" s="6"/>
      <c r="L29" s="7"/>
      <c r="M29" s="7"/>
      <c r="N29" s="109" t="str">
        <f t="shared" si="5"/>
        <v>Momento </v>
      </c>
      <c r="O29" s="56"/>
      <c r="P29" s="21" t="str">
        <f>D29</f>
        <v>(daN m)</v>
      </c>
      <c r="Q29" s="110">
        <f t="shared" si="3"/>
        <v>0</v>
      </c>
      <c r="R29" s="110">
        <f t="shared" si="2"/>
        <v>0</v>
      </c>
      <c r="S29" s="110">
        <f t="shared" si="4"/>
      </c>
      <c r="U29" s="6"/>
    </row>
    <row r="30" spans="2:21" ht="12.75">
      <c r="B30" s="56" t="s">
        <v>50</v>
      </c>
      <c r="C30" s="56"/>
      <c r="D30" s="105" t="s">
        <v>57</v>
      </c>
      <c r="E30" s="58">
        <v>2</v>
      </c>
      <c r="F30" s="106">
        <f>-1/($F$21/100/$D$14-1/H30)</f>
        <v>1</v>
      </c>
      <c r="G30" s="106">
        <f>-1/($G$21/100/$D$14-1/H30)</f>
        <v>1</v>
      </c>
      <c r="H30" s="58">
        <v>1</v>
      </c>
      <c r="I30" s="107">
        <f>IF(OR(E30&lt;0,H30&lt;0),"ERROREdi segno","")</f>
      </c>
      <c r="K30" s="6"/>
      <c r="L30" s="7"/>
      <c r="M30" s="7"/>
      <c r="N30" s="56" t="str">
        <f t="shared" si="5"/>
        <v>Coeff. Taglio</v>
      </c>
      <c r="O30" s="56"/>
      <c r="P30" s="105" t="str">
        <f>D30</f>
        <v>P /..</v>
      </c>
      <c r="Q30" s="108">
        <f t="shared" si="3"/>
        <v>2</v>
      </c>
      <c r="R30" s="108">
        <f t="shared" si="2"/>
        <v>1</v>
      </c>
      <c r="S30" s="108">
        <f>IF($G$13&gt;0,H30,"")</f>
      </c>
      <c r="U30" s="6"/>
    </row>
    <row r="31" spans="2:21" ht="12.75">
      <c r="B31" s="109" t="s">
        <v>52</v>
      </c>
      <c r="C31" s="56"/>
      <c r="D31" s="21" t="s">
        <v>53</v>
      </c>
      <c r="E31" s="94">
        <f>IF(G8=2,0,IF(E30=0,0,E27/E30*(1+G14)))</f>
        <v>0</v>
      </c>
      <c r="F31" s="94">
        <f>IF(F30=0,0,F27/F30*(1+G14))</f>
        <v>0</v>
      </c>
      <c r="G31" s="94">
        <f>IF(H30=0,0,G27/H30*(1+G14))</f>
        <v>0</v>
      </c>
      <c r="K31" s="6"/>
      <c r="L31" s="7"/>
      <c r="M31" s="7"/>
      <c r="N31" s="109" t="str">
        <f t="shared" si="5"/>
        <v>Taglio </v>
      </c>
      <c r="O31" s="56"/>
      <c r="P31" s="21" t="str">
        <f>D31</f>
        <v>(daN)</v>
      </c>
      <c r="Q31" s="94">
        <f t="shared" si="3"/>
        <v>0</v>
      </c>
      <c r="R31" s="94">
        <f t="shared" si="2"/>
        <v>0</v>
      </c>
      <c r="S31" s="94">
        <f t="shared" si="4"/>
      </c>
      <c r="U31" s="6"/>
    </row>
    <row r="32" spans="2:21" ht="13.5" thickBot="1">
      <c r="B32" s="82" t="s">
        <v>58</v>
      </c>
      <c r="C32" s="83" t="s">
        <v>59</v>
      </c>
      <c r="D32" s="116"/>
      <c r="E32" s="98"/>
      <c r="F32" s="98"/>
      <c r="G32" s="98"/>
      <c r="H32" s="27"/>
      <c r="I32" s="5"/>
      <c r="K32" s="6"/>
      <c r="L32" s="7"/>
      <c r="M32" s="7"/>
      <c r="N32" s="82" t="str">
        <f t="shared" si="5"/>
        <v>VERIFICHE:</v>
      </c>
      <c r="O32" s="1"/>
      <c r="U32" s="6"/>
    </row>
    <row r="33" spans="2:23" ht="13.5" thickBot="1">
      <c r="B33" s="117" t="s">
        <v>60</v>
      </c>
      <c r="C33" s="118">
        <v>12</v>
      </c>
      <c r="D33" s="21" t="s">
        <v>61</v>
      </c>
      <c r="E33" s="119">
        <v>0</v>
      </c>
      <c r="F33" s="91">
        <f>G33</f>
        <v>1.13</v>
      </c>
      <c r="G33" s="172">
        <v>1.13</v>
      </c>
      <c r="H33" s="173"/>
      <c r="I33" s="162" t="s">
        <v>119</v>
      </c>
      <c r="J33" s="174"/>
      <c r="K33" s="6"/>
      <c r="L33" s="7"/>
      <c r="M33" s="7"/>
      <c r="N33" s="117" t="str">
        <f t="shared" si="5"/>
        <v>Armatura superiore </v>
      </c>
      <c r="O33" s="117"/>
      <c r="P33" s="21" t="str">
        <f aca="true" t="shared" si="6" ref="P33:P41">D33</f>
        <v>(cm2)</v>
      </c>
      <c r="Q33" s="120">
        <f t="shared" si="3"/>
        <v>0</v>
      </c>
      <c r="R33" s="120">
        <f aca="true" t="shared" si="7" ref="R33:R49">F33</f>
        <v>1.13</v>
      </c>
      <c r="S33" s="120">
        <f t="shared" si="4"/>
      </c>
      <c r="U33" s="6"/>
      <c r="V33" s="121"/>
      <c r="W33" s="121"/>
    </row>
    <row r="34" spans="2:23" ht="12.75">
      <c r="B34" s="117" t="s">
        <v>62</v>
      </c>
      <c r="C34" s="118">
        <v>12</v>
      </c>
      <c r="D34" s="21" t="s">
        <v>61</v>
      </c>
      <c r="E34" s="119">
        <v>2.26</v>
      </c>
      <c r="F34" s="91">
        <f>G34</f>
        <v>1.13</v>
      </c>
      <c r="G34" s="172">
        <v>1.13</v>
      </c>
      <c r="H34" s="175" t="str">
        <f>E20</f>
        <v>Mezzeria sez. T</v>
      </c>
      <c r="I34" s="175" t="str">
        <f>F20</f>
        <v>Filo Appoggio</v>
      </c>
      <c r="J34" s="175">
        <f>G20</f>
      </c>
      <c r="K34" s="6" t="s">
        <v>120</v>
      </c>
      <c r="L34" s="7"/>
      <c r="M34" s="7"/>
      <c r="N34" s="117" t="str">
        <f t="shared" si="5"/>
        <v>Armatura inferiore </v>
      </c>
      <c r="O34" s="117"/>
      <c r="P34" s="21" t="str">
        <f t="shared" si="6"/>
        <v>(cm2)</v>
      </c>
      <c r="Q34" s="120">
        <f t="shared" si="3"/>
        <v>2.26</v>
      </c>
      <c r="R34" s="120">
        <f t="shared" si="7"/>
        <v>1.13</v>
      </c>
      <c r="S34" s="120">
        <f t="shared" si="4"/>
      </c>
      <c r="U34" s="6"/>
      <c r="V34" s="121"/>
      <c r="W34" s="121"/>
    </row>
    <row r="35" spans="2:21" ht="15.75" customHeight="1">
      <c r="B35" s="110" t="s">
        <v>63</v>
      </c>
      <c r="C35" s="122"/>
      <c r="D35" s="21" t="s">
        <v>48</v>
      </c>
      <c r="E35" s="110">
        <f>IF(G8=2,0.000001,IF(H35=0,E29+E24+0.01,H35))</f>
        <v>885.9475</v>
      </c>
      <c r="F35" s="110">
        <f>IF(I35=0,F29+F24+0.01,I35)</f>
        <v>-393.74</v>
      </c>
      <c r="G35" s="110">
        <f>IF(G13=0,0.01,IF(J35=0,G29+G24+0.01,J35))</f>
        <v>0.01</v>
      </c>
      <c r="H35" s="176">
        <v>0</v>
      </c>
      <c r="I35" s="176">
        <v>0</v>
      </c>
      <c r="J35" s="176">
        <v>0</v>
      </c>
      <c r="K35" s="6"/>
      <c r="L35" s="7"/>
      <c r="M35" s="7"/>
      <c r="N35" s="110" t="str">
        <f t="shared" si="5"/>
        <v>MOMENTO</v>
      </c>
      <c r="O35" s="122"/>
      <c r="P35" s="21" t="str">
        <f t="shared" si="6"/>
        <v>(daN m)</v>
      </c>
      <c r="Q35" s="110">
        <f t="shared" si="3"/>
        <v>885.9475</v>
      </c>
      <c r="R35" s="110">
        <f t="shared" si="7"/>
        <v>-393.74</v>
      </c>
      <c r="S35" s="110">
        <f t="shared" si="4"/>
      </c>
      <c r="U35" s="6"/>
    </row>
    <row r="36" spans="2:21" ht="13.5" thickBot="1">
      <c r="B36" s="110" t="s">
        <v>64</v>
      </c>
      <c r="C36" s="122"/>
      <c r="D36" s="21" t="s">
        <v>53</v>
      </c>
      <c r="E36" s="123">
        <f>IF(G8=2,0.01,IF(H36=0,E31+E26+0.01,H36))</f>
        <v>0.01</v>
      </c>
      <c r="F36" s="123">
        <f>IF(I36=0,F31+F26+0.01,I36)</f>
        <v>787.51</v>
      </c>
      <c r="G36" s="123">
        <f>IF(G13=0,0.01,IF(J36=0,G31+G26+0.01,J36))</f>
        <v>0.01</v>
      </c>
      <c r="H36" s="177">
        <v>0</v>
      </c>
      <c r="I36" s="177">
        <v>0</v>
      </c>
      <c r="J36" s="177">
        <v>0</v>
      </c>
      <c r="K36" s="6"/>
      <c r="L36" s="7"/>
      <c r="M36" s="7"/>
      <c r="N36" s="110" t="str">
        <f t="shared" si="5"/>
        <v>TAGLIO</v>
      </c>
      <c r="O36" s="122"/>
      <c r="P36" s="21" t="str">
        <f t="shared" si="6"/>
        <v>(daN)</v>
      </c>
      <c r="Q36" s="123">
        <f t="shared" si="3"/>
        <v>0.01</v>
      </c>
      <c r="R36" s="123">
        <f t="shared" si="7"/>
        <v>787.51</v>
      </c>
      <c r="S36" s="123">
        <f t="shared" si="4"/>
      </c>
      <c r="U36" s="6"/>
    </row>
    <row r="37" spans="2:21" ht="12.75">
      <c r="B37" s="124" t="s">
        <v>65</v>
      </c>
      <c r="C37" s="122"/>
      <c r="D37" s="21" t="s">
        <v>61</v>
      </c>
      <c r="E37" s="91">
        <f>E33</f>
        <v>0</v>
      </c>
      <c r="F37" s="91">
        <f>F34</f>
        <v>1.13</v>
      </c>
      <c r="G37" s="91">
        <f>G34+0.0001</f>
        <v>1.1300999999999999</v>
      </c>
      <c r="I37" s="9" t="s">
        <v>122</v>
      </c>
      <c r="K37" s="6"/>
      <c r="L37" s="7"/>
      <c r="M37" s="7"/>
      <c r="N37" s="124" t="str">
        <f t="shared" si="5"/>
        <v> As' compressa</v>
      </c>
      <c r="O37" s="122"/>
      <c r="P37" s="21" t="str">
        <f t="shared" si="6"/>
        <v>(cm2)</v>
      </c>
      <c r="Q37" s="91">
        <f t="shared" si="3"/>
        <v>0</v>
      </c>
      <c r="R37" s="91">
        <f t="shared" si="7"/>
        <v>1.13</v>
      </c>
      <c r="S37" s="91">
        <f t="shared" si="4"/>
      </c>
      <c r="U37" s="6"/>
    </row>
    <row r="38" spans="2:21" ht="12.75">
      <c r="B38" s="124" t="s">
        <v>66</v>
      </c>
      <c r="C38" s="122"/>
      <c r="D38" s="21" t="s">
        <v>61</v>
      </c>
      <c r="E38" s="91">
        <f>E34+0.0001</f>
        <v>2.2601</v>
      </c>
      <c r="F38" s="91">
        <f>F33</f>
        <v>1.13</v>
      </c>
      <c r="G38" s="91">
        <f>G33+0.0001</f>
        <v>1.1300999999999999</v>
      </c>
      <c r="I38" s="5"/>
      <c r="K38" s="6"/>
      <c r="L38" s="7"/>
      <c r="M38" s="7"/>
      <c r="N38" s="124" t="str">
        <f t="shared" si="5"/>
        <v> As  tesa</v>
      </c>
      <c r="O38" s="122"/>
      <c r="P38" s="21" t="str">
        <f t="shared" si="6"/>
        <v>(cm2)</v>
      </c>
      <c r="Q38" s="91">
        <f t="shared" si="3"/>
        <v>2.2601</v>
      </c>
      <c r="R38" s="91">
        <f t="shared" si="7"/>
        <v>1.13</v>
      </c>
      <c r="S38" s="91">
        <f t="shared" si="4"/>
      </c>
      <c r="U38" s="6"/>
    </row>
    <row r="39" spans="2:21" ht="15" customHeight="1">
      <c r="B39" s="124" t="s">
        <v>67</v>
      </c>
      <c r="D39" s="21" t="s">
        <v>68</v>
      </c>
      <c r="E39" s="125">
        <f>E38/IF(G9*G10&gt;0,(G11*D9+(D10-G10)*G9),D10*D9)</f>
        <v>0.005022444444444445</v>
      </c>
      <c r="F39" s="125">
        <f>F38/G11/D9</f>
        <v>0.00452</v>
      </c>
      <c r="G39" s="125">
        <f>G38/D10/D9</f>
        <v>0.0009040799999999999</v>
      </c>
      <c r="H39" s="203">
        <f>IF(OR(AND(E39&lt;0.0015,G8&lt;&gt;2),F39&lt;0.0015,AND(G39&lt;0.0015,G13&gt;0)),"As/Ac &lt; 0,0015","")</f>
      </c>
      <c r="I39" s="5"/>
      <c r="K39" s="6"/>
      <c r="L39" s="7"/>
      <c r="M39" s="7"/>
      <c r="N39" s="124" t="str">
        <f t="shared" si="5"/>
        <v> As / Ac  </v>
      </c>
      <c r="O39" s="122"/>
      <c r="P39" s="21" t="str">
        <f t="shared" si="6"/>
        <v>( &gt; 0,0015 )</v>
      </c>
      <c r="Q39" s="125">
        <f t="shared" si="3"/>
        <v>0.005022444444444445</v>
      </c>
      <c r="R39" s="125">
        <f t="shared" si="7"/>
        <v>0.00452</v>
      </c>
      <c r="S39" s="125">
        <f t="shared" si="4"/>
      </c>
      <c r="U39" s="6"/>
    </row>
    <row r="40" spans="2:21" ht="12.75">
      <c r="B40" s="110" t="s">
        <v>69</v>
      </c>
      <c r="C40" s="122"/>
      <c r="D40" s="21" t="s">
        <v>21</v>
      </c>
      <c r="E40" s="91">
        <f>D11+C33/20+E50/10</f>
        <v>2.6</v>
      </c>
      <c r="F40" s="91">
        <f>D11+C33/20+F50/10</f>
        <v>2.6</v>
      </c>
      <c r="G40" s="91">
        <f>D11+C33/20+F50/10</f>
        <v>2.6</v>
      </c>
      <c r="I40" s="5"/>
      <c r="K40" s="6"/>
      <c r="L40" s="7"/>
      <c r="M40" s="7"/>
      <c r="N40" s="110" t="str">
        <f t="shared" si="5"/>
        <v>h'</v>
      </c>
      <c r="O40" s="122"/>
      <c r="P40" s="21" t="str">
        <f t="shared" si="6"/>
        <v>(cm)</v>
      </c>
      <c r="Q40" s="91">
        <f t="shared" si="3"/>
        <v>2.6</v>
      </c>
      <c r="R40" s="91">
        <f t="shared" si="7"/>
        <v>2.6</v>
      </c>
      <c r="S40" s="91">
        <f t="shared" si="4"/>
      </c>
      <c r="U40" s="6"/>
    </row>
    <row r="41" spans="2:21" ht="12.75">
      <c r="B41" s="110" t="s">
        <v>70</v>
      </c>
      <c r="C41" s="122"/>
      <c r="D41" s="21" t="s">
        <v>21</v>
      </c>
      <c r="E41" s="91">
        <f>(D9-D12-C34/20-E50/10)</f>
        <v>22.4</v>
      </c>
      <c r="F41" s="91">
        <f>(D9-D12-C33/20-F50/10)</f>
        <v>22.4</v>
      </c>
      <c r="G41" s="91">
        <f>(D9-D12-C34/20-F50/10)</f>
        <v>22.4</v>
      </c>
      <c r="I41" s="5"/>
      <c r="K41" s="6"/>
      <c r="L41" s="7"/>
      <c r="M41" s="7"/>
      <c r="N41" s="110" t="str">
        <f t="shared" si="5"/>
        <v>h</v>
      </c>
      <c r="O41" s="122"/>
      <c r="P41" s="21" t="str">
        <f t="shared" si="6"/>
        <v>(cm)</v>
      </c>
      <c r="Q41" s="91">
        <f t="shared" si="3"/>
        <v>22.4</v>
      </c>
      <c r="R41" s="91">
        <f t="shared" si="7"/>
        <v>22.4</v>
      </c>
      <c r="S41" s="91">
        <f t="shared" si="4"/>
      </c>
      <c r="U41" s="6"/>
    </row>
    <row r="42" spans="1:21" ht="15" customHeight="1" hidden="1">
      <c r="A42" s="126" t="s">
        <v>71</v>
      </c>
      <c r="B42" s="21" t="s">
        <v>72</v>
      </c>
      <c r="C42" s="21" t="s">
        <v>73</v>
      </c>
      <c r="D42" s="126">
        <f>15*(E37+E38)/$D$10</f>
        <v>0.67803</v>
      </c>
      <c r="E42" s="126">
        <f>15*(B43+E37+E38)/$G$11</f>
        <v>23.39015</v>
      </c>
      <c r="F42" s="126">
        <f>15*(F37+F38)/$G$11</f>
        <v>3.3899999999999997</v>
      </c>
      <c r="G42" s="126">
        <f>15*(G37+G38)/$D$10</f>
        <v>0.67806</v>
      </c>
      <c r="I42" s="5"/>
      <c r="K42" s="6"/>
      <c r="L42" s="7"/>
      <c r="M42" s="7"/>
      <c r="N42" s="110"/>
      <c r="O42" s="122"/>
      <c r="P42" s="21"/>
      <c r="Q42" s="91">
        <f t="shared" si="3"/>
        <v>23.39015</v>
      </c>
      <c r="R42" s="91">
        <f t="shared" si="7"/>
        <v>3.3899999999999997</v>
      </c>
      <c r="S42" s="91">
        <f t="shared" si="4"/>
      </c>
      <c r="U42" s="6"/>
    </row>
    <row r="43" spans="2:21" ht="12.75" customHeight="1" hidden="1">
      <c r="B43" s="126">
        <f>(D10-G11)*G9/15</f>
        <v>13.333333333333334</v>
      </c>
      <c r="C43" s="21" t="s">
        <v>74</v>
      </c>
      <c r="D43" s="126">
        <f>(E37*E40+E38*E41)/(E37+E38)</f>
        <v>22.4</v>
      </c>
      <c r="E43" s="126">
        <f>(B43*$G$9/2+E37*E40+E38*E41)/(B43+E37+E38)</f>
        <v>5.384290395743507</v>
      </c>
      <c r="F43" s="126">
        <f>(F37*F40+F38*F41)/(F37+F38)</f>
        <v>12.5</v>
      </c>
      <c r="G43" s="126">
        <f>(G37*G40+G38*G41)/(G37+G38)</f>
        <v>12.499999999999998</v>
      </c>
      <c r="I43" s="5"/>
      <c r="K43" s="6"/>
      <c r="L43" s="7"/>
      <c r="M43" s="7"/>
      <c r="N43" s="124"/>
      <c r="O43" s="124"/>
      <c r="P43" s="21"/>
      <c r="Q43" s="91">
        <f t="shared" si="3"/>
        <v>5.384290395743507</v>
      </c>
      <c r="R43" s="91">
        <f t="shared" si="7"/>
        <v>12.5</v>
      </c>
      <c r="S43" s="91">
        <f t="shared" si="4"/>
      </c>
      <c r="U43" s="6"/>
    </row>
    <row r="44" spans="2:21" ht="12.75">
      <c r="B44" s="124" t="s">
        <v>75</v>
      </c>
      <c r="C44" s="124"/>
      <c r="D44" s="204">
        <f>D42*(-1+SQRT(1+2*D43/D42))</f>
        <v>4.874939357100757</v>
      </c>
      <c r="E44" s="127">
        <f>IF(D44&gt;G9,E42*(-1+SQRT(1+2*E43/E42)),D44)</f>
        <v>4.874939357100757</v>
      </c>
      <c r="F44" s="127">
        <f>F42*(-1+SQRT(1+2*F43/F42))</f>
        <v>6.420305805631137</v>
      </c>
      <c r="G44" s="127">
        <f>G42*(-1+SQRT(1+2*G43/G42))</f>
        <v>3.4946208365366256</v>
      </c>
      <c r="I44" s="5"/>
      <c r="K44" s="6"/>
      <c r="L44" s="7"/>
      <c r="M44" s="7"/>
      <c r="N44" s="124" t="str">
        <f t="shared" si="5"/>
        <v>  asse neutro x (cm)</v>
      </c>
      <c r="O44" s="124"/>
      <c r="P44" s="21" t="str">
        <f>P41</f>
        <v>(cm)</v>
      </c>
      <c r="Q44" s="91">
        <f t="shared" si="3"/>
        <v>4.874939357100757</v>
      </c>
      <c r="R44" s="91">
        <f t="shared" si="7"/>
        <v>6.420305805631137</v>
      </c>
      <c r="S44" s="91">
        <f t="shared" si="4"/>
      </c>
      <c r="U44" s="6"/>
    </row>
    <row r="45" spans="2:21" ht="12.75">
      <c r="B45" s="222" t="s">
        <v>76</v>
      </c>
      <c r="C45" s="222"/>
      <c r="D45" s="21" t="s">
        <v>25</v>
      </c>
      <c r="E45" s="91">
        <f>(D10*E44^3-(D10-G11)*(E44-G9)^3)/3+15*(E38*(E41-E44)^2+E37*(E44-E40)^2)</f>
        <v>12343.002485753294</v>
      </c>
      <c r="F45" s="91">
        <f>(G11*F44^3/3+15*(F38*(F41-F44)^2+F37*(F44-F40)^2))</f>
        <v>5457.730910825781</v>
      </c>
      <c r="G45" s="91">
        <f>(D10*G44^3/3+15*(G38*(G41-G44)^2+G37*(G44-G40)^2))</f>
        <v>6783.553323829831</v>
      </c>
      <c r="K45" s="6"/>
      <c r="L45" s="7"/>
      <c r="M45" s="7"/>
      <c r="N45" s="222" t="str">
        <f t="shared" si="5"/>
        <v>  mom. inerzia id. J</v>
      </c>
      <c r="O45" s="222"/>
      <c r="P45" s="21" t="str">
        <f>D45</f>
        <v>(cm4)</v>
      </c>
      <c r="Q45" s="91">
        <f t="shared" si="3"/>
        <v>12343.002485753294</v>
      </c>
      <c r="R45" s="91">
        <f t="shared" si="7"/>
        <v>5457.730910825781</v>
      </c>
      <c r="S45" s="91">
        <f t="shared" si="4"/>
      </c>
      <c r="U45" s="6"/>
    </row>
    <row r="46" spans="2:21" ht="15.75">
      <c r="B46" s="128" t="s">
        <v>77</v>
      </c>
      <c r="C46" s="129"/>
      <c r="D46" s="21" t="s">
        <v>3</v>
      </c>
      <c r="E46" s="130">
        <f>100*E35*E44/E45</f>
        <v>34.99100272449988</v>
      </c>
      <c r="F46" s="130">
        <f>-100*F35*F44/F45</f>
        <v>46.318355543965716</v>
      </c>
      <c r="G46" s="130">
        <f>-100*G35*G44/G45</f>
        <v>-0.0005151608117032751</v>
      </c>
      <c r="H46" s="53">
        <f>IF(OR(E46&gt;C5,F46&gt;C4,G46&gt;C4),"NON VERIFICATO","")</f>
      </c>
      <c r="I46" s="5"/>
      <c r="K46" s="6"/>
      <c r="L46" s="7"/>
      <c r="M46" s="7"/>
      <c r="N46" s="128" t="s">
        <v>77</v>
      </c>
      <c r="O46" s="129"/>
      <c r="P46" s="21" t="str">
        <f>D46</f>
        <v>(daN/cm2)</v>
      </c>
      <c r="Q46" s="130">
        <f t="shared" si="3"/>
        <v>34.99100272449988</v>
      </c>
      <c r="R46" s="130">
        <f t="shared" si="7"/>
        <v>46.318355543965716</v>
      </c>
      <c r="S46" s="130">
        <f t="shared" si="4"/>
      </c>
      <c r="U46" s="6"/>
    </row>
    <row r="47" spans="2:21" ht="15.75">
      <c r="B47" s="128" t="s">
        <v>78</v>
      </c>
      <c r="C47" s="129"/>
      <c r="D47" s="21" t="s">
        <v>3</v>
      </c>
      <c r="E47" s="130">
        <f>15*100*E35*(E41-E44)/E45</f>
        <v>1886.8525322561425</v>
      </c>
      <c r="F47" s="130">
        <f>-15*100*F35*(F41-F44)/F45</f>
        <v>1729.2474367718894</v>
      </c>
      <c r="G47" s="130">
        <f>-15*100*G35*(G41-G44)/G45</f>
        <v>-0.04180415099793861</v>
      </c>
      <c r="H47" s="53">
        <f>IF(OR(E47&gt;C7,F47&gt;C7,G47&gt;C7),"NON VERIFICATO","")</f>
      </c>
      <c r="K47" s="6"/>
      <c r="L47" s="7"/>
      <c r="M47" s="7"/>
      <c r="N47" s="128" t="s">
        <v>78</v>
      </c>
      <c r="O47" s="129"/>
      <c r="P47" s="21" t="str">
        <f>D47</f>
        <v>(daN/cm2)</v>
      </c>
      <c r="Q47" s="130">
        <f t="shared" si="3"/>
        <v>1886.8525322561425</v>
      </c>
      <c r="R47" s="130">
        <f t="shared" si="7"/>
        <v>1729.2474367718894</v>
      </c>
      <c r="S47" s="130">
        <f t="shared" si="4"/>
      </c>
      <c r="U47" s="6"/>
    </row>
    <row r="48" spans="2:21" ht="15.75">
      <c r="B48" s="131" t="s">
        <v>79</v>
      </c>
      <c r="C48" s="122"/>
      <c r="D48" s="21" t="s">
        <v>3</v>
      </c>
      <c r="E48" s="132">
        <f>E36/(0.9*E41*G11)</f>
        <v>4.96031746031746E-05</v>
      </c>
      <c r="F48" s="132">
        <f>F36/(0.9*F41*G11)</f>
        <v>3.9062996031746033</v>
      </c>
      <c r="G48" s="132">
        <f>G36/(0.9*G41*D10)</f>
        <v>9.92063492063492E-06</v>
      </c>
      <c r="H48" s="53">
        <f>IF(OR(E48&gt;G6,F48&gt;G6,G48&gt;G6),"NON VERIFICATO","")</f>
      </c>
      <c r="K48" s="6"/>
      <c r="L48" s="7"/>
      <c r="M48" s="7"/>
      <c r="N48" s="131" t="str">
        <f>B48</f>
        <v>t</v>
      </c>
      <c r="O48" s="122"/>
      <c r="P48" s="21" t="str">
        <f>D48</f>
        <v>(daN/cm2)</v>
      </c>
      <c r="Q48" s="132">
        <f t="shared" si="3"/>
        <v>4.96031746031746E-05</v>
      </c>
      <c r="R48" s="132">
        <f t="shared" si="7"/>
        <v>3.9062996031746033</v>
      </c>
      <c r="S48" s="132">
        <f t="shared" si="4"/>
      </c>
      <c r="U48" s="6"/>
    </row>
    <row r="49" spans="2:21" ht="12" customHeight="1">
      <c r="B49" s="122" t="s">
        <v>80</v>
      </c>
      <c r="C49" s="204">
        <f>3.1415/4*E50^2/100</f>
        <v>0</v>
      </c>
      <c r="D49" s="21"/>
      <c r="E49" s="91" t="str">
        <f>IF(E48&lt;$C$6,"(tau &lt; tauco)",IF(E48&gt;$G$6,"(&gt; tauc1 N.V.)","si"))</f>
        <v>(tau &lt; tauco)</v>
      </c>
      <c r="F49" s="91" t="str">
        <f>IF(F48&lt;$C$6,"(tau &lt; tauco)",IF(F48&gt;$G$6,"(&gt; tauc1 N.V.)","si"))</f>
        <v>(tau &lt; tauco)</v>
      </c>
      <c r="G49" s="91" t="str">
        <f>IF(G48&lt;$C$6,"(tau &lt; tauco)",IF(G48&gt;$G$6,"(&gt; tauc1 N.V.)","si"))</f>
        <v>(tau &lt; tauco)</v>
      </c>
      <c r="K49" s="6"/>
      <c r="L49" s="7"/>
      <c r="M49" s="7"/>
      <c r="N49" s="122"/>
      <c r="O49" s="122"/>
      <c r="P49" s="21"/>
      <c r="Q49" s="91" t="str">
        <f t="shared" si="3"/>
        <v>(tau &lt; tauco)</v>
      </c>
      <c r="R49" s="91" t="str">
        <f t="shared" si="7"/>
        <v>(tau &lt; tauco)</v>
      </c>
      <c r="S49" s="91">
        <f t="shared" si="4"/>
      </c>
      <c r="U49" s="6"/>
    </row>
    <row r="50" spans="2:21" ht="12.75">
      <c r="B50" s="133" t="s">
        <v>81</v>
      </c>
      <c r="C50" s="204">
        <f>(E50/10)^2*3.1415/4*E51*$C$7*(E41-E44/3)/E36</f>
        <v>0</v>
      </c>
      <c r="D50" s="21" t="s">
        <v>82</v>
      </c>
      <c r="E50" s="206">
        <v>0</v>
      </c>
      <c r="F50" s="206">
        <v>0</v>
      </c>
      <c r="G50" s="206">
        <v>0</v>
      </c>
      <c r="I50" s="5"/>
      <c r="K50" s="6"/>
      <c r="L50" s="7"/>
      <c r="M50" s="7"/>
      <c r="N50" s="133" t="s">
        <v>81</v>
      </c>
      <c r="O50" s="122"/>
      <c r="P50" s="21" t="str">
        <f>D50</f>
        <v>(mm)</v>
      </c>
      <c r="Q50" s="134">
        <f>IF(E51&gt;0,E50,"")</f>
      </c>
      <c r="R50" s="134">
        <f>IF(F51&gt;0,F50,"")</f>
      </c>
      <c r="S50" s="134">
        <f>IF($G$13&gt;0,IF(G51&gt;0,G50,""),"")</f>
      </c>
      <c r="U50" s="6"/>
    </row>
    <row r="51" spans="2:21" ht="12.75">
      <c r="B51" s="123" t="s">
        <v>124</v>
      </c>
      <c r="C51" s="204">
        <f>(F50/10)^2*3.1415/4*F51*$C$7*(F41-F44/3)/F36</f>
        <v>0</v>
      </c>
      <c r="D51" s="21" t="s">
        <v>133</v>
      </c>
      <c r="E51" s="206">
        <v>0</v>
      </c>
      <c r="F51" s="206">
        <v>0</v>
      </c>
      <c r="G51" s="206">
        <v>0</v>
      </c>
      <c r="H51" s="104" t="s">
        <v>134</v>
      </c>
      <c r="K51" s="6"/>
      <c r="L51" s="7"/>
      <c r="M51" s="7"/>
      <c r="N51" s="123" t="str">
        <f>B51</f>
        <v>n° bracci</v>
      </c>
      <c r="O51" s="122"/>
      <c r="P51" s="135" t="str">
        <f>D51</f>
        <v>n. </v>
      </c>
      <c r="Q51" s="134">
        <f>IF(E51&gt;0,E51,"")</f>
      </c>
      <c r="R51" s="134">
        <f>IF(F51&gt;0,F51,"")</f>
      </c>
      <c r="S51" s="134">
        <f>IF($G$13&gt;0,IF(G51&gt;0,G51,""),"")</f>
      </c>
      <c r="U51" s="6"/>
    </row>
    <row r="52" spans="2:21" ht="12.75">
      <c r="B52" s="136" t="s">
        <v>83</v>
      </c>
      <c r="C52" s="204">
        <f>(G50/10)^2*3.1415/4*G51*$C$7*(G41-G44/3)/G36</f>
        <v>0</v>
      </c>
      <c r="D52" s="21" t="s">
        <v>21</v>
      </c>
      <c r="E52" s="130">
        <f>IF(C50&lt;0.8*E41,C50-0.499,IF(0.8*E41&lt;30,0.8*E41,30))</f>
        <v>-0.499</v>
      </c>
      <c r="F52" s="130">
        <f>IF(C51&lt;0.8*F41,C51-0.499,IF(0.8*F41&lt;30,0.8*F41,30))</f>
        <v>-0.499</v>
      </c>
      <c r="G52" s="130">
        <f>IF(C52&lt;0.8*G41,C52-0.499,IF(0.8*G41&lt;30,0.8*G41,30))</f>
        <v>-0.499</v>
      </c>
      <c r="K52" s="6"/>
      <c r="L52" s="7"/>
      <c r="M52" s="7"/>
      <c r="N52" s="136" t="str">
        <f>B52</f>
        <v>passo staffe</v>
      </c>
      <c r="O52" s="136"/>
      <c r="P52" s="21" t="str">
        <f>D52</f>
        <v>(cm)</v>
      </c>
      <c r="Q52" s="134">
        <f>IF(E52&gt;0,E52,"")</f>
      </c>
      <c r="R52" s="134">
        <f>IF(F52&gt;0,F52,"")</f>
      </c>
      <c r="S52" s="134">
        <f>IF($G$13&gt;0,IF(G52&gt;0,G52,""),"")</f>
      </c>
      <c r="U52" s="6"/>
    </row>
    <row r="53" spans="2:21" ht="12.75">
      <c r="B53" s="82" t="s">
        <v>84</v>
      </c>
      <c r="C53" s="1" t="s">
        <v>85</v>
      </c>
      <c r="D53" s="21" t="s">
        <v>53</v>
      </c>
      <c r="E53" s="84">
        <v>200</v>
      </c>
      <c r="F53" s="123" t="s">
        <v>86</v>
      </c>
      <c r="G53" s="137">
        <v>5</v>
      </c>
      <c r="H53" s="5" t="str">
        <f>"x"&amp;G53</f>
        <v>x5</v>
      </c>
      <c r="K53" s="6"/>
      <c r="L53" s="7"/>
      <c r="M53" s="7"/>
      <c r="N53" s="138" t="str">
        <f>B53</f>
        <v>PUNZONAMENTO:</v>
      </c>
      <c r="O53" s="139" t="s">
        <v>87</v>
      </c>
      <c r="P53" s="21" t="str">
        <f>D53</f>
        <v>(daN)</v>
      </c>
      <c r="Q53" s="123">
        <f>E53</f>
        <v>200</v>
      </c>
      <c r="R53" s="123" t="str">
        <f>F53</f>
        <v>Impronta:(cm)</v>
      </c>
      <c r="S53" s="140" t="str">
        <f>G53&amp;"x"&amp;G53</f>
        <v>5x5</v>
      </c>
      <c r="U53" s="6"/>
    </row>
    <row r="54" spans="3:21" ht="15.75">
      <c r="C54" s="131" t="s">
        <v>88</v>
      </c>
      <c r="D54" s="21" t="s">
        <v>3</v>
      </c>
      <c r="E54" s="132">
        <f>$E$53/4/$G$53/IF(($G$9*$G$10)&gt;0,$G$9,$D$9)</f>
        <v>2</v>
      </c>
      <c r="F54" s="132">
        <f>$E$53/4/$G$53/IF(($G$9*$G$10)&gt;0,$G$9,$D$9)</f>
        <v>2</v>
      </c>
      <c r="G54" s="132">
        <f>E53/D9/4/$G$53</f>
        <v>0.4</v>
      </c>
      <c r="H54" s="53">
        <f>IF(OR(F54&gt;C6),"NON VERIFICATO","")</f>
      </c>
      <c r="K54" s="6"/>
      <c r="L54" s="7"/>
      <c r="M54" s="7"/>
      <c r="O54" s="131" t="str">
        <f>C54</f>
        <v>t =</v>
      </c>
      <c r="P54" s="21" t="str">
        <f>D54</f>
        <v>(daN/cm2)</v>
      </c>
      <c r="Q54" s="132">
        <f>IF($G$8&lt;&gt;2,E54,"")</f>
        <v>2</v>
      </c>
      <c r="R54" s="132">
        <f>F54</f>
        <v>2</v>
      </c>
      <c r="S54" s="132">
        <f t="shared" si="4"/>
      </c>
      <c r="U54" s="6"/>
    </row>
    <row r="55" spans="2:21" ht="12.75">
      <c r="B55" s="1" t="s">
        <v>89</v>
      </c>
      <c r="D55" s="21" t="s">
        <v>21</v>
      </c>
      <c r="E55" s="141">
        <f>IF(G8=2,0,(48-E23)/384*E22*(D14*100)^4/E23/G5/G12/100+(28-3*E28)/4/192*E27*(D14*100)^3/G5/G12)</f>
        <v>0.2674776161350652</v>
      </c>
      <c r="F55" s="142" t="s">
        <v>90</v>
      </c>
      <c r="G55" s="143">
        <f>D14/5</f>
        <v>0.9</v>
      </c>
      <c r="H55" s="53">
        <f>IF(E55&gt;G55,"NON VERIFICATO","")</f>
      </c>
      <c r="K55" s="6"/>
      <c r="N55" s="138" t="str">
        <f aca="true" t="shared" si="8" ref="N55:P56">IF($G$8&lt;&gt;2,B55,"")</f>
        <v>FRECCIA  carico totale:</v>
      </c>
      <c r="O55" s="136"/>
      <c r="P55" s="21" t="str">
        <f t="shared" si="8"/>
        <v>(cm)</v>
      </c>
      <c r="Q55" s="141">
        <f>IF($G$8&lt;&gt;2,E55,"")</f>
        <v>0.2674776161350652</v>
      </c>
      <c r="R55" s="136" t="str">
        <f>IF($G$8&lt;&gt;2,F55,"")</f>
        <v>&lt;L/500 =</v>
      </c>
      <c r="S55" s="144">
        <f>IF($G$8&lt;&gt;2,G55,"")</f>
        <v>0.9</v>
      </c>
      <c r="U55" s="6"/>
    </row>
    <row r="56" spans="2:21" ht="12.75">
      <c r="B56" s="1" t="s">
        <v>91</v>
      </c>
      <c r="D56" s="21" t="s">
        <v>21</v>
      </c>
      <c r="E56" s="141">
        <f>IF(G8=2,0,(48-E23)/384*(E17*E18)*(D14*100)^4/E23/G5/G12/100)</f>
        <v>0.07642217603859006</v>
      </c>
      <c r="F56" s="142" t="s">
        <v>92</v>
      </c>
      <c r="G56" s="143">
        <f>D14/10</f>
        <v>0.45</v>
      </c>
      <c r="H56" s="53">
        <f>IF(E56&gt;G56,"NON VERIFICATO","")</f>
      </c>
      <c r="K56" s="6"/>
      <c r="N56" s="138" t="str">
        <f t="shared" si="8"/>
        <v>FRECCIA  carico accid:</v>
      </c>
      <c r="O56" s="136"/>
      <c r="P56" s="21" t="str">
        <f t="shared" si="8"/>
        <v>(cm)</v>
      </c>
      <c r="Q56" s="141">
        <f>IF($G$8&lt;&gt;2,E56,"")</f>
        <v>0.07642217603859006</v>
      </c>
      <c r="R56" s="136" t="str">
        <f>IF($G$8&lt;&gt;2,F56,"")</f>
        <v>&lt;L/1000 =</v>
      </c>
      <c r="S56" s="144">
        <f>IF($G$8&lt;&gt;2,G56,"")</f>
        <v>0.45</v>
      </c>
      <c r="U56" s="6"/>
    </row>
    <row r="57" spans="4:21" ht="12.75">
      <c r="D57" s="21"/>
      <c r="E57" s="145"/>
      <c r="F57" s="142"/>
      <c r="G57" s="143"/>
      <c r="H57" s="53"/>
      <c r="K57" s="6"/>
      <c r="U57" s="6"/>
    </row>
    <row r="58" spans="1:2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17" ht="12.75">
      <c r="A59" s="121" t="s">
        <v>93</v>
      </c>
      <c r="B59" s="1" t="s">
        <v>121</v>
      </c>
      <c r="Q59" s="202" t="s">
        <v>131</v>
      </c>
    </row>
    <row r="60" spans="1:9" ht="12.75">
      <c r="A60" s="121"/>
      <c r="B60" s="1" t="s">
        <v>94</v>
      </c>
      <c r="I60" s="5"/>
    </row>
    <row r="61" spans="1:9" ht="12.75">
      <c r="A61" s="121"/>
      <c r="B61" s="1" t="s">
        <v>136</v>
      </c>
      <c r="I61" s="5"/>
    </row>
    <row r="62" spans="1:3" ht="12.75">
      <c r="A62" s="121"/>
      <c r="B62" s="1" t="s">
        <v>137</v>
      </c>
      <c r="C62"/>
    </row>
    <row r="63" spans="1:3" ht="12.75">
      <c r="A63" s="121"/>
      <c r="C63"/>
    </row>
    <row r="64" spans="1:9" ht="12.75">
      <c r="A64" s="121"/>
      <c r="B64" s="121" t="s">
        <v>129</v>
      </c>
      <c r="C64"/>
      <c r="D64" s="5"/>
      <c r="E64" s="5"/>
      <c r="F64" s="5"/>
      <c r="G64" s="5"/>
      <c r="I64" s="5"/>
    </row>
    <row r="65" ht="12.75">
      <c r="B65" s="121" t="s">
        <v>130</v>
      </c>
    </row>
    <row r="67" ht="12.75">
      <c r="B67" s="82" t="s">
        <v>95</v>
      </c>
    </row>
    <row r="68" ht="13.5" thickBot="1"/>
    <row r="69" spans="2:7" ht="13.5" thickBot="1">
      <c r="B69" s="146">
        <v>6</v>
      </c>
      <c r="C69" s="147">
        <v>1</v>
      </c>
      <c r="D69" s="146">
        <v>10</v>
      </c>
      <c r="E69" s="147">
        <v>0</v>
      </c>
      <c r="F69" s="148" t="s">
        <v>61</v>
      </c>
      <c r="G69" s="149">
        <f>E69*3.1415*D69^2/400+C69*3.1415*B69^2/400</f>
        <v>0.282735</v>
      </c>
    </row>
    <row r="70" ht="13.5" thickBot="1"/>
    <row r="71" spans="2:7" ht="13.5" thickBot="1">
      <c r="B71" s="146">
        <v>12</v>
      </c>
      <c r="C71" s="147">
        <v>2</v>
      </c>
      <c r="D71" s="146">
        <v>16</v>
      </c>
      <c r="E71" s="147">
        <v>0</v>
      </c>
      <c r="F71" s="148" t="s">
        <v>61</v>
      </c>
      <c r="G71" s="149">
        <f>E71*3.1415*D71^2/400+C71*3.1415*B71^2/400</f>
        <v>2.26188</v>
      </c>
    </row>
    <row r="72" ht="13.5" thickBot="1"/>
    <row r="73" spans="5:7" ht="16.5" thickBot="1">
      <c r="E73" s="150" t="s">
        <v>96</v>
      </c>
      <c r="F73" s="151" t="s">
        <v>61</v>
      </c>
      <c r="G73" s="152">
        <f>G71+G69</f>
        <v>2.5446150000000003</v>
      </c>
    </row>
    <row r="74" ht="14.25" customHeight="1"/>
    <row r="75" ht="13.5" thickBot="1"/>
    <row r="76" spans="2:46" s="161" customFormat="1" ht="20.25" customHeight="1" thickBot="1">
      <c r="B76" s="228" t="s">
        <v>144</v>
      </c>
      <c r="C76" s="229"/>
      <c r="D76" s="229"/>
      <c r="E76" s="229"/>
      <c r="F76" s="229"/>
      <c r="G76" s="230"/>
      <c r="M76" s="231"/>
      <c r="N76" s="232"/>
      <c r="O76" s="232"/>
      <c r="P76" s="232"/>
      <c r="Q76" s="232"/>
      <c r="AB76" s="233" t="s">
        <v>145</v>
      </c>
      <c r="AC76" s="234">
        <v>103</v>
      </c>
      <c r="AD76" s="234">
        <v>220</v>
      </c>
      <c r="AE76" s="234">
        <v>206</v>
      </c>
      <c r="AF76" s="234">
        <v>15</v>
      </c>
      <c r="AG76" s="234">
        <v>25</v>
      </c>
      <c r="AH76" s="234">
        <v>18</v>
      </c>
      <c r="AI76" s="235">
        <v>0</v>
      </c>
      <c r="AJ76" s="236">
        <v>131.3</v>
      </c>
      <c r="AK76" s="234">
        <v>10640</v>
      </c>
      <c r="AL76" s="237">
        <v>967.4</v>
      </c>
      <c r="AM76" s="238">
        <v>1135</v>
      </c>
      <c r="AN76" s="234">
        <v>9</v>
      </c>
      <c r="AO76" s="234">
        <v>3651</v>
      </c>
      <c r="AP76" s="234">
        <v>354.5</v>
      </c>
      <c r="AQ76" s="234">
        <v>543.2</v>
      </c>
      <c r="AR76" s="234">
        <v>5.27</v>
      </c>
      <c r="AS76" s="234">
        <v>259.4</v>
      </c>
      <c r="AT76" s="239">
        <v>346300</v>
      </c>
    </row>
    <row r="77" spans="2:46" s="161" customFormat="1" ht="15.75" customHeight="1" thickBot="1">
      <c r="B77" s="240" t="s">
        <v>146</v>
      </c>
      <c r="C77" s="241"/>
      <c r="D77" s="241"/>
      <c r="E77" s="241"/>
      <c r="F77" s="241"/>
      <c r="G77" s="242"/>
      <c r="M77" s="231"/>
      <c r="N77" s="232"/>
      <c r="O77" s="232"/>
      <c r="P77" s="232"/>
      <c r="Q77" s="232"/>
      <c r="AB77" s="233" t="s">
        <v>147</v>
      </c>
      <c r="AC77" s="234">
        <v>117</v>
      </c>
      <c r="AD77" s="234">
        <v>240</v>
      </c>
      <c r="AE77" s="234">
        <v>226</v>
      </c>
      <c r="AF77" s="234">
        <v>15.5</v>
      </c>
      <c r="AG77" s="234">
        <v>26</v>
      </c>
      <c r="AH77" s="234">
        <v>18</v>
      </c>
      <c r="AI77" s="235">
        <v>0</v>
      </c>
      <c r="AJ77" s="236">
        <v>149.4</v>
      </c>
      <c r="AK77" s="234">
        <v>14600</v>
      </c>
      <c r="AL77" s="237">
        <v>1217</v>
      </c>
      <c r="AM77" s="238">
        <v>1419</v>
      </c>
      <c r="AN77" s="234">
        <v>9.89</v>
      </c>
      <c r="AO77" s="234">
        <v>5012</v>
      </c>
      <c r="AP77" s="234">
        <v>443.5</v>
      </c>
      <c r="AQ77" s="234">
        <v>678.6</v>
      </c>
      <c r="AR77" s="234">
        <v>5.79</v>
      </c>
      <c r="AS77" s="234">
        <v>315.3</v>
      </c>
      <c r="AT77" s="239">
        <v>572700</v>
      </c>
    </row>
    <row r="78" spans="2:46" s="161" customFormat="1" ht="15" customHeight="1" thickBot="1">
      <c r="B78" s="240" t="s">
        <v>148</v>
      </c>
      <c r="C78" s="241"/>
      <c r="D78" s="241"/>
      <c r="E78" s="241"/>
      <c r="F78" s="241"/>
      <c r="G78" s="242"/>
      <c r="M78" s="231"/>
      <c r="N78" s="232"/>
      <c r="O78" s="232"/>
      <c r="P78" s="232"/>
      <c r="Q78" s="232"/>
      <c r="AB78" s="233" t="s">
        <v>149</v>
      </c>
      <c r="AC78" s="234">
        <v>157</v>
      </c>
      <c r="AD78" s="234">
        <v>270</v>
      </c>
      <c r="AE78" s="234">
        <v>248</v>
      </c>
      <c r="AF78" s="234">
        <v>18</v>
      </c>
      <c r="AG78" s="234">
        <v>32</v>
      </c>
      <c r="AH78" s="234">
        <v>21</v>
      </c>
      <c r="AI78" s="235">
        <v>0</v>
      </c>
      <c r="AJ78" s="236">
        <v>199.6</v>
      </c>
      <c r="AK78" s="234">
        <v>24290</v>
      </c>
      <c r="AL78" s="237">
        <v>1799</v>
      </c>
      <c r="AM78" s="238">
        <v>2117</v>
      </c>
      <c r="AN78" s="234">
        <v>11.03</v>
      </c>
      <c r="AO78" s="234">
        <v>8153</v>
      </c>
      <c r="AP78" s="234">
        <v>657.5</v>
      </c>
      <c r="AQ78" s="234">
        <v>1006</v>
      </c>
      <c r="AR78" s="234">
        <v>6.39</v>
      </c>
      <c r="AS78" s="234">
        <v>627.9</v>
      </c>
      <c r="AT78" s="239">
        <v>1152000</v>
      </c>
    </row>
  </sheetData>
  <sheetProtection password="CC79" sheet="1" objects="1" scenarios="1"/>
  <mergeCells count="10">
    <mergeCell ref="B76:G76"/>
    <mergeCell ref="B77:G77"/>
    <mergeCell ref="B78:G78"/>
    <mergeCell ref="B45:C45"/>
    <mergeCell ref="N45:O45"/>
    <mergeCell ref="N1:S1"/>
    <mergeCell ref="N2:S2"/>
    <mergeCell ref="D3:G3"/>
    <mergeCell ref="AN8:AN10"/>
    <mergeCell ref="AE8:AE10"/>
  </mergeCells>
  <printOptions/>
  <pageMargins left="0.75" right="0.75" top="1" bottom="1" header="0.5" footer="0.5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selection activeCell="E16" sqref="E16"/>
    </sheetView>
  </sheetViews>
  <sheetFormatPr defaultColWidth="9.140625" defaultRowHeight="12.75"/>
  <cols>
    <col min="2" max="2" width="14.140625" style="0" customWidth="1"/>
    <col min="4" max="4" width="15.28125" style="0" customWidth="1"/>
    <col min="5" max="5" width="15.8515625" style="0" customWidth="1"/>
    <col min="6" max="6" width="14.57421875" style="0" customWidth="1"/>
  </cols>
  <sheetData>
    <row r="3" ht="15.75">
      <c r="B3" s="167" t="s">
        <v>115</v>
      </c>
    </row>
    <row r="5" spans="2:7" ht="12.75">
      <c r="B5" s="1"/>
      <c r="C5" s="1"/>
      <c r="D5" s="1"/>
      <c r="E5" s="1"/>
      <c r="F5" s="1"/>
      <c r="G5" s="1"/>
    </row>
    <row r="6" spans="1:10" ht="13.5" thickBot="1">
      <c r="A6" s="1"/>
      <c r="B6" s="1"/>
      <c r="C6" s="1"/>
      <c r="D6" s="82" t="s">
        <v>111</v>
      </c>
      <c r="F6" s="1"/>
      <c r="G6" s="1"/>
      <c r="H6" s="5"/>
      <c r="I6" s="1"/>
      <c r="J6" s="1"/>
    </row>
    <row r="7" spans="1:10" ht="12.75">
      <c r="A7" s="1"/>
      <c r="B7" s="61" t="s">
        <v>98</v>
      </c>
      <c r="C7" s="17" t="s">
        <v>38</v>
      </c>
      <c r="D7" s="180">
        <v>400</v>
      </c>
      <c r="E7" s="180">
        <v>400</v>
      </c>
      <c r="F7" s="1"/>
      <c r="G7" s="1"/>
      <c r="H7" s="5"/>
      <c r="I7" s="1"/>
      <c r="J7" s="1"/>
    </row>
    <row r="8" spans="1:10" ht="13.5" thickBot="1">
      <c r="A8" s="1"/>
      <c r="B8" s="157" t="s">
        <v>99</v>
      </c>
      <c r="C8" s="21" t="s">
        <v>38</v>
      </c>
      <c r="D8" s="181">
        <v>500</v>
      </c>
      <c r="E8" s="181">
        <v>500</v>
      </c>
      <c r="F8" s="1"/>
      <c r="G8" s="1"/>
      <c r="H8" s="5"/>
      <c r="I8" s="1"/>
      <c r="J8" s="1"/>
    </row>
    <row r="9" spans="1:10" ht="13.5" thickBot="1">
      <c r="A9" s="1"/>
      <c r="B9" s="78" t="s">
        <v>100</v>
      </c>
      <c r="C9" s="40" t="s">
        <v>38</v>
      </c>
      <c r="D9" s="182">
        <f>SUM(D7:D8)</f>
        <v>900</v>
      </c>
      <c r="E9" s="182">
        <f>SUM(E7:E8)</f>
        <v>900</v>
      </c>
      <c r="F9" s="1"/>
      <c r="G9" s="1"/>
      <c r="H9" s="5"/>
      <c r="I9" s="1"/>
      <c r="J9" s="1"/>
    </row>
    <row r="10" spans="1:10" ht="13.5" thickBot="1">
      <c r="A10" s="1"/>
      <c r="B10" s="30"/>
      <c r="C10" s="83"/>
      <c r="D10" s="183" t="s">
        <v>101</v>
      </c>
      <c r="E10" s="183" t="s">
        <v>102</v>
      </c>
      <c r="F10" s="1"/>
      <c r="G10" s="1"/>
      <c r="H10" s="5"/>
      <c r="I10" s="1"/>
      <c r="J10" s="1"/>
    </row>
    <row r="11" spans="1:10" ht="13.5" thickBot="1">
      <c r="A11" s="1"/>
      <c r="B11" s="78" t="s">
        <v>104</v>
      </c>
      <c r="C11" s="40" t="s">
        <v>35</v>
      </c>
      <c r="D11" s="184">
        <v>4.5</v>
      </c>
      <c r="E11" s="184">
        <v>5</v>
      </c>
      <c r="F11" s="1"/>
      <c r="G11" s="1"/>
      <c r="H11" s="5"/>
      <c r="I11" s="1"/>
      <c r="J11" s="1"/>
    </row>
    <row r="12" spans="1:10" ht="13.5" hidden="1" thickBot="1">
      <c r="A12" s="1"/>
      <c r="B12" s="1"/>
      <c r="C12" s="1"/>
      <c r="D12" s="185"/>
      <c r="E12" s="190">
        <f>E11/D11</f>
        <v>1.1111111111111112</v>
      </c>
      <c r="F12" s="1"/>
      <c r="G12" s="1"/>
      <c r="H12" s="5"/>
      <c r="I12" s="1"/>
      <c r="J12" s="1"/>
    </row>
    <row r="13" spans="1:10" ht="12.75">
      <c r="A13" s="1"/>
      <c r="B13" s="61" t="s">
        <v>116</v>
      </c>
      <c r="C13" s="17" t="s">
        <v>48</v>
      </c>
      <c r="D13" s="186" t="s">
        <v>112</v>
      </c>
      <c r="E13" s="191">
        <f>D11*D11*(-1/(1+E12)*D9-E12*E12*E12/(1+E12)*E9)/8</f>
        <v>-2559.375</v>
      </c>
      <c r="F13" s="1"/>
      <c r="G13" s="1"/>
      <c r="H13" s="5"/>
      <c r="I13" s="1"/>
      <c r="J13" s="1"/>
    </row>
    <row r="14" spans="1:10" ht="13.5" thickBot="1">
      <c r="A14" s="1"/>
      <c r="B14" s="154" t="s">
        <v>107</v>
      </c>
      <c r="C14" s="21" t="s">
        <v>48</v>
      </c>
      <c r="D14" s="187">
        <f>E13/2+E13*E13/2/D9/D11/D11+D9*D11*D11/8</f>
        <v>1178.146701388889</v>
      </c>
      <c r="E14" s="187">
        <f>F13+(E13-F13)/2+(E13-F13)^2/2/E9/E11/E11+E9/8*E11*E11</f>
        <v>1678.376953125</v>
      </c>
      <c r="F14" s="1"/>
      <c r="G14" s="1"/>
      <c r="H14" s="5"/>
      <c r="I14" s="1"/>
      <c r="J14" s="1"/>
    </row>
    <row r="15" spans="1:10" ht="12.75">
      <c r="A15" s="1"/>
      <c r="B15" s="61" t="s">
        <v>113</v>
      </c>
      <c r="C15" s="18" t="s">
        <v>44</v>
      </c>
      <c r="D15" s="188">
        <f>D9*D11*D11/E13</f>
        <v>-7.1208791208791204</v>
      </c>
      <c r="E15" s="192">
        <f>E9*E11*E11/E13</f>
        <v>-8.791208791208792</v>
      </c>
      <c r="F15" s="1"/>
      <c r="G15" s="1"/>
      <c r="H15" s="5"/>
      <c r="I15" s="1"/>
      <c r="J15" s="1"/>
    </row>
    <row r="16" spans="1:10" ht="13.5" thickBot="1">
      <c r="A16" s="1"/>
      <c r="B16" s="157" t="s">
        <v>110</v>
      </c>
      <c r="C16" s="200" t="s">
        <v>44</v>
      </c>
      <c r="D16" s="189">
        <f>D9*D11*D11/D14</f>
        <v>15.46921107406657</v>
      </c>
      <c r="E16" s="189">
        <f>E9*E11*E11/E14</f>
        <v>13.40580848545784</v>
      </c>
      <c r="F16" s="1"/>
      <c r="G16" s="1"/>
      <c r="H16" s="5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5"/>
      <c r="I17" s="1"/>
      <c r="J17" s="1"/>
    </row>
    <row r="24" spans="1:10" ht="13.5" thickBot="1">
      <c r="A24" s="1"/>
      <c r="B24" s="1"/>
      <c r="C24" s="1"/>
      <c r="D24" s="1"/>
      <c r="E24" s="153" t="s">
        <v>97</v>
      </c>
      <c r="F24" s="1"/>
      <c r="G24" s="1"/>
      <c r="H24" s="5"/>
      <c r="I24" s="1"/>
      <c r="J24" s="1"/>
    </row>
    <row r="25" spans="1:10" ht="12.75">
      <c r="A25" s="1"/>
      <c r="B25" s="61" t="s">
        <v>98</v>
      </c>
      <c r="C25" s="17" t="s">
        <v>38</v>
      </c>
      <c r="D25" s="180">
        <v>400</v>
      </c>
      <c r="E25" s="196">
        <v>400</v>
      </c>
      <c r="F25" s="180">
        <v>0</v>
      </c>
      <c r="G25" s="1"/>
      <c r="H25" s="5"/>
      <c r="I25" s="1"/>
      <c r="J25" s="1"/>
    </row>
    <row r="26" spans="1:10" ht="13.5" thickBot="1">
      <c r="A26" s="1"/>
      <c r="B26" s="154" t="s">
        <v>99</v>
      </c>
      <c r="C26" s="21" t="s">
        <v>38</v>
      </c>
      <c r="D26" s="193">
        <v>500</v>
      </c>
      <c r="E26" s="197">
        <v>500</v>
      </c>
      <c r="F26" s="193">
        <v>500</v>
      </c>
      <c r="G26" s="1"/>
      <c r="H26" s="5"/>
      <c r="I26" s="1"/>
      <c r="J26" s="1"/>
    </row>
    <row r="27" spans="1:10" ht="13.5" thickBot="1">
      <c r="A27" s="1"/>
      <c r="B27" s="78" t="s">
        <v>100</v>
      </c>
      <c r="C27" s="40" t="s">
        <v>38</v>
      </c>
      <c r="D27" s="182">
        <f>SUM(D25:D26)</f>
        <v>900</v>
      </c>
      <c r="E27" s="163">
        <f>SUM(E25:E26)</f>
        <v>900</v>
      </c>
      <c r="F27" s="182">
        <f>SUM(F25:F26)</f>
        <v>500</v>
      </c>
      <c r="G27" s="1"/>
      <c r="H27" s="5"/>
      <c r="I27" s="1"/>
      <c r="J27" s="1"/>
    </row>
    <row r="28" spans="1:10" ht="13.5" thickBot="1">
      <c r="A28" s="1"/>
      <c r="B28" s="30"/>
      <c r="C28" s="1"/>
      <c r="D28" s="183" t="s">
        <v>101</v>
      </c>
      <c r="E28" s="178" t="s">
        <v>102</v>
      </c>
      <c r="F28" s="183" t="s">
        <v>103</v>
      </c>
      <c r="G28" s="1"/>
      <c r="H28" s="5"/>
      <c r="I28" s="1"/>
      <c r="J28" s="1"/>
    </row>
    <row r="29" spans="1:10" ht="13.5" thickBot="1">
      <c r="A29" s="1"/>
      <c r="B29" s="78" t="s">
        <v>104</v>
      </c>
      <c r="C29" s="40" t="s">
        <v>35</v>
      </c>
      <c r="D29" s="184">
        <v>1.2</v>
      </c>
      <c r="E29" s="198">
        <v>2.1</v>
      </c>
      <c r="F29" s="184">
        <v>1.6</v>
      </c>
      <c r="G29" s="1"/>
      <c r="H29" s="5"/>
      <c r="I29" s="1"/>
      <c r="J29" s="1"/>
    </row>
    <row r="30" spans="1:10" ht="13.5" hidden="1" thickBot="1">
      <c r="A30" s="1"/>
      <c r="B30" s="1"/>
      <c r="C30" s="1"/>
      <c r="D30" s="185">
        <f>3*E30*E30+4*(E30+F30+E30*F30)</f>
        <v>30.854166666666675</v>
      </c>
      <c r="E30" s="155">
        <f>E29/D29</f>
        <v>1.7500000000000002</v>
      </c>
      <c r="F30" s="185">
        <f>F29/D29</f>
        <v>1.3333333333333335</v>
      </c>
      <c r="G30" s="1"/>
      <c r="H30" s="5"/>
      <c r="I30" s="1"/>
      <c r="J30" s="1"/>
    </row>
    <row r="31" spans="1:10" ht="12.75">
      <c r="A31" s="1"/>
      <c r="B31" s="61" t="s">
        <v>105</v>
      </c>
      <c r="C31" s="17" t="s">
        <v>48</v>
      </c>
      <c r="D31" s="194">
        <f>D29*D29*((E30*F30^3/D30)/4*F27-(F30+E30)/D30*D27/2-(E30*E30*E30*(2*F30+E30)/D30/4*E27))</f>
        <v>-289.12137069547606</v>
      </c>
      <c r="E31" s="156" t="s">
        <v>106</v>
      </c>
      <c r="F31" s="191">
        <f>(E30/D30/4*D27-E30*E30*E30*(2+E30)/4/D30*E27-(F30*F30*F30*(1+E30)/2/D30*F27))*D29*D29</f>
        <v>-268.7256920999326</v>
      </c>
      <c r="G31" s="1"/>
      <c r="H31" s="5"/>
      <c r="I31" s="1"/>
      <c r="J31" s="1"/>
    </row>
    <row r="32" spans="1:10" ht="15" customHeight="1" thickBot="1">
      <c r="A32" s="1"/>
      <c r="B32" s="154" t="s">
        <v>107</v>
      </c>
      <c r="C32" s="21" t="s">
        <v>48</v>
      </c>
      <c r="D32" s="187">
        <f>D31/2+D31*D31/2/D27/D29/D29+D27*D29*D29/8</f>
        <v>49.68899327603933</v>
      </c>
      <c r="E32" s="179">
        <f>F31+(D31-F31)/2+(D31-F31)^2/2/E27/E29/E29+E27/8*E29*E29</f>
        <v>217.25387269720278</v>
      </c>
      <c r="F32" s="187">
        <f>F31/2+F31*F31/2/F27/F29/F29+F27*F29*F29/8</f>
        <v>53.84555144791955</v>
      </c>
      <c r="G32" s="1"/>
      <c r="H32" s="5"/>
      <c r="I32" s="1"/>
      <c r="J32" s="1"/>
    </row>
    <row r="33" spans="1:10" ht="12.75">
      <c r="A33" s="1"/>
      <c r="B33" s="61" t="s">
        <v>108</v>
      </c>
      <c r="C33" s="18" t="s">
        <v>44</v>
      </c>
      <c r="D33" s="188">
        <f>D27*D29*D29/D31</f>
        <v>-4.482546540515134</v>
      </c>
      <c r="E33" s="158">
        <f>E27*E29*E29/D31</f>
        <v>-13.7277987803276</v>
      </c>
      <c r="F33" s="192">
        <f>F27*F29*F29/F31</f>
        <v>-4.763221521535793</v>
      </c>
      <c r="G33" s="1"/>
      <c r="H33" s="5"/>
      <c r="I33" s="1"/>
      <c r="J33" s="1"/>
    </row>
    <row r="34" spans="1:10" ht="12.75">
      <c r="A34" s="1"/>
      <c r="B34" s="154" t="s">
        <v>108</v>
      </c>
      <c r="C34" s="111" t="s">
        <v>44</v>
      </c>
      <c r="D34" s="195" t="s">
        <v>109</v>
      </c>
      <c r="E34" s="159">
        <f>E27*E29*E29/F31</f>
        <v>-14.769707983574659</v>
      </c>
      <c r="F34" s="199" t="s">
        <v>109</v>
      </c>
      <c r="G34" s="1"/>
      <c r="H34" s="5"/>
      <c r="I34" s="1"/>
      <c r="J34" s="1"/>
    </row>
    <row r="35" spans="1:10" ht="13.5" thickBot="1">
      <c r="A35" s="1"/>
      <c r="B35" s="157" t="s">
        <v>110</v>
      </c>
      <c r="C35" s="200" t="s">
        <v>44</v>
      </c>
      <c r="D35" s="189">
        <f>D27*D29*D29/D32</f>
        <v>26.082235009276147</v>
      </c>
      <c r="E35" s="160">
        <f>E27*E29*E29/E32</f>
        <v>18.268949366586376</v>
      </c>
      <c r="F35" s="189">
        <f>F27*F29*F29/F32</f>
        <v>23.771694514783466</v>
      </c>
      <c r="G35" s="1"/>
      <c r="H35" s="5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5"/>
      <c r="I36" s="1"/>
      <c r="J36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Win</cp:lastModifiedBy>
  <cp:lastPrinted>2009-01-21T21:20:06Z</cp:lastPrinted>
  <dcterms:created xsi:type="dcterms:W3CDTF">2003-03-28T16:32:52Z</dcterms:created>
  <dcterms:modified xsi:type="dcterms:W3CDTF">2009-01-21T21:22:54Z</dcterms:modified>
  <cp:category/>
  <cp:version/>
  <cp:contentType/>
  <cp:contentStatus/>
</cp:coreProperties>
</file>