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5" windowWidth="19320" windowHeight="6615" activeTab="0"/>
  </bookViews>
  <sheets>
    <sheet name="Trave mat. omogeneo MM (SL)" sheetId="1" r:id="rId1"/>
    <sheet name="Trave mat. omogeneo MM (TA)" sheetId="2" r:id="rId2"/>
    <sheet name="travi continue" sheetId="3" r:id="rId3"/>
  </sheets>
  <definedNames>
    <definedName name="_xlnm.Print_Area" localSheetId="0">'Trave mat. omogeneo MM (SL)'!$B$2:$F$45</definedName>
    <definedName name="_xlnm.Print_Area" localSheetId="1">'Trave mat. omogeneo MM (TA)'!$B$2:$F$44</definedName>
  </definedNames>
  <calcPr fullCalcOnLoad="1"/>
</workbook>
</file>

<file path=xl/comments1.xml><?xml version="1.0" encoding="utf-8"?>
<comments xmlns="http://schemas.openxmlformats.org/spreadsheetml/2006/main">
  <authors>
    <author>P4</author>
  </authors>
  <commentList>
    <comment ref="R10" authorId="0">
      <text>
        <r>
          <rPr>
            <b/>
            <sz val="8"/>
            <rFont val="Tahoma"/>
            <family val="0"/>
          </rPr>
          <t>P4:</t>
        </r>
        <r>
          <rPr>
            <sz val="8"/>
            <rFont val="Tahoma"/>
            <family val="0"/>
          </rPr>
          <t xml:space="preserve">
non usato per ora
</t>
        </r>
      </text>
    </comment>
  </commentList>
</comments>
</file>

<file path=xl/comments2.xml><?xml version="1.0" encoding="utf-8"?>
<comments xmlns="http://schemas.openxmlformats.org/spreadsheetml/2006/main">
  <authors>
    <author>P4</author>
  </authors>
  <commentList>
    <comment ref="R10" authorId="0">
      <text>
        <r>
          <rPr>
            <b/>
            <sz val="8"/>
            <rFont val="Tahoma"/>
            <family val="0"/>
          </rPr>
          <t>P4:</t>
        </r>
        <r>
          <rPr>
            <sz val="8"/>
            <rFont val="Tahoma"/>
            <family val="0"/>
          </rPr>
          <t xml:space="preserve">
non usato per ora
</t>
        </r>
      </text>
    </comment>
  </commentList>
</comments>
</file>

<file path=xl/sharedStrings.xml><?xml version="1.0" encoding="utf-8"?>
<sst xmlns="http://schemas.openxmlformats.org/spreadsheetml/2006/main" count="847" uniqueCount="365">
  <si>
    <t>IPE 160</t>
  </si>
  <si>
    <t>Analisi dei carichi:</t>
  </si>
  <si>
    <t>m</t>
  </si>
  <si>
    <r>
      <t>daN/m</t>
    </r>
  </si>
  <si>
    <r>
      <t>daN</t>
    </r>
  </si>
  <si>
    <t>Momento massimo =</t>
  </si>
  <si>
    <t>Vincoli di estremità:</t>
  </si>
  <si>
    <t>daNm</t>
  </si>
  <si>
    <t>designation</t>
  </si>
  <si>
    <t>g (Kg/m)</t>
  </si>
  <si>
    <t>h (mm)</t>
  </si>
  <si>
    <t>b (mm)</t>
  </si>
  <si>
    <t>tw (mm)</t>
  </si>
  <si>
    <t>tf (mm)</t>
  </si>
  <si>
    <t>r1 (mm)</t>
  </si>
  <si>
    <t>r2 (mm)</t>
  </si>
  <si>
    <t>A (cm2)</t>
  </si>
  <si>
    <t>Iy (cm4)</t>
  </si>
  <si>
    <t>Wy (cm3)</t>
  </si>
  <si>
    <t>Wpl,y (cm3)</t>
  </si>
  <si>
    <t>iy (cm)</t>
  </si>
  <si>
    <t>Iz (cm4)</t>
  </si>
  <si>
    <t>Wz (cm3)</t>
  </si>
  <si>
    <t>Wpl,z (cm3)</t>
  </si>
  <si>
    <t>iz (cm)</t>
  </si>
  <si>
    <t>IT (cm4)</t>
  </si>
  <si>
    <t>Iw (cm6)</t>
  </si>
  <si>
    <t>HE 100 A</t>
  </si>
  <si>
    <t>HE 1000 A</t>
  </si>
  <si>
    <t>HE 120 A</t>
  </si>
  <si>
    <t>HE 140 A</t>
  </si>
  <si>
    <t>HE 160 A</t>
  </si>
  <si>
    <t>HE 180 A</t>
  </si>
  <si>
    <t>HE 200 A</t>
  </si>
  <si>
    <t>HE 220 A</t>
  </si>
  <si>
    <t>HE 240 A</t>
  </si>
  <si>
    <t>HE 260 A</t>
  </si>
  <si>
    <t>HE 280 A</t>
  </si>
  <si>
    <t>HE 300 A</t>
  </si>
  <si>
    <t>HE 320 A</t>
  </si>
  <si>
    <t>HE 340 A</t>
  </si>
  <si>
    <t>HE 360 A</t>
  </si>
  <si>
    <t>HE 400 A</t>
  </si>
  <si>
    <t>HE 450 A</t>
  </si>
  <si>
    <t>HE 500 A</t>
  </si>
  <si>
    <t>HE 550 A</t>
  </si>
  <si>
    <t>HE 600 A</t>
  </si>
  <si>
    <t>HE 650 A</t>
  </si>
  <si>
    <t>HE 700 A</t>
  </si>
  <si>
    <t>HE 800 A</t>
  </si>
  <si>
    <t>HE 900 A</t>
  </si>
  <si>
    <t>HE 100 B</t>
  </si>
  <si>
    <t>HE 1000 B</t>
  </si>
  <si>
    <t>HE 120 B</t>
  </si>
  <si>
    <t>HE 140 B</t>
  </si>
  <si>
    <t>HE 160 B</t>
  </si>
  <si>
    <t>HE 180 B</t>
  </si>
  <si>
    <t>HE 200 B</t>
  </si>
  <si>
    <t>HE 220 B</t>
  </si>
  <si>
    <t>HE 240 B</t>
  </si>
  <si>
    <t>HE 260 B</t>
  </si>
  <si>
    <t>HE 280 B</t>
  </si>
  <si>
    <t>HE 300 B</t>
  </si>
  <si>
    <t>HE 320 B</t>
  </si>
  <si>
    <t>HE 340 B</t>
  </si>
  <si>
    <t>HE 360 B</t>
  </si>
  <si>
    <t>HE 400 B</t>
  </si>
  <si>
    <t>HE 450 B</t>
  </si>
  <si>
    <t>HE 500 B</t>
  </si>
  <si>
    <t>HE 550 B</t>
  </si>
  <si>
    <t>HE 600 B</t>
  </si>
  <si>
    <t>HE 650 B</t>
  </si>
  <si>
    <t>HE 700 B</t>
  </si>
  <si>
    <t>HE 800 B</t>
  </si>
  <si>
    <t>HE 900 B</t>
  </si>
  <si>
    <t>HE 1000 M</t>
  </si>
  <si>
    <t>HE 180 M</t>
  </si>
  <si>
    <t>HE 200 M</t>
  </si>
  <si>
    <t>HE 220 M</t>
  </si>
  <si>
    <t>HE 240 M</t>
  </si>
  <si>
    <t>HE 260 M</t>
  </si>
  <si>
    <t>HE 280 M</t>
  </si>
  <si>
    <t>HE 300 M</t>
  </si>
  <si>
    <t>HE 320 M</t>
  </si>
  <si>
    <t>HE 340 M</t>
  </si>
  <si>
    <t>HE 360 M</t>
  </si>
  <si>
    <t>HE 400 M</t>
  </si>
  <si>
    <t>HE 450 M</t>
  </si>
  <si>
    <t>HE 500 M</t>
  </si>
  <si>
    <t>HE 550 M</t>
  </si>
  <si>
    <t>HE 600 M</t>
  </si>
  <si>
    <t>HE 650 M</t>
  </si>
  <si>
    <t>HE 700 M</t>
  </si>
  <si>
    <t>HE 800 M</t>
  </si>
  <si>
    <t>HE 900 M</t>
  </si>
  <si>
    <t>IPE 100</t>
  </si>
  <si>
    <t>IPE 120</t>
  </si>
  <si>
    <t>IPE 140</t>
  </si>
  <si>
    <t>IPE 180</t>
  </si>
  <si>
    <t>IPE 200</t>
  </si>
  <si>
    <t>IPE 220</t>
  </si>
  <si>
    <t>IPE 240</t>
  </si>
  <si>
    <t>IPE 270</t>
  </si>
  <si>
    <t>IPE 300</t>
  </si>
  <si>
    <t>IPE 330</t>
  </si>
  <si>
    <t>IPE 360</t>
  </si>
  <si>
    <t>IPE 400</t>
  </si>
  <si>
    <t>IPE 450</t>
  </si>
  <si>
    <t>IPE 500</t>
  </si>
  <si>
    <t>IPE 550</t>
  </si>
  <si>
    <t>IPE 600</t>
  </si>
  <si>
    <t>IPE 80</t>
  </si>
  <si>
    <t>UPN 80</t>
  </si>
  <si>
    <t>UPN 100</t>
  </si>
  <si>
    <t>UPN 120</t>
  </si>
  <si>
    <t>UPN 140</t>
  </si>
  <si>
    <t>UPN 160</t>
  </si>
  <si>
    <t>UPN 180</t>
  </si>
  <si>
    <t>UPN 200</t>
  </si>
  <si>
    <t>UPN 220</t>
  </si>
  <si>
    <t>UPN 240</t>
  </si>
  <si>
    <t>UPN 260</t>
  </si>
  <si>
    <t>UPN 280</t>
  </si>
  <si>
    <t>UPN 300</t>
  </si>
  <si>
    <t>UPN 320</t>
  </si>
  <si>
    <t>UPN 350</t>
  </si>
  <si>
    <t>UPN 380</t>
  </si>
  <si>
    <t>UPN 400</t>
  </si>
  <si>
    <t>tensione massima =</t>
  </si>
  <si>
    <t>pari a   Luce /</t>
  </si>
  <si>
    <t>cm</t>
  </si>
  <si>
    <t>Luce di calcolo L =</t>
  </si>
  <si>
    <t>Acciaio Fe360</t>
  </si>
  <si>
    <t>Acciaio Fe430</t>
  </si>
  <si>
    <t>Acciaio Fe510</t>
  </si>
  <si>
    <t>Legno resinoso I cat.</t>
  </si>
  <si>
    <t>Legno resinoso II cat.</t>
  </si>
  <si>
    <t>Legno non resinoso I cat.</t>
  </si>
  <si>
    <t>Legno non resinoso II cat.</t>
  </si>
  <si>
    <t>modulo elastico =</t>
  </si>
  <si>
    <t>A =</t>
  </si>
  <si>
    <r>
      <t>daN/m</t>
    </r>
    <r>
      <rPr>
        <vertAlign val="superscript"/>
        <sz val="12"/>
        <rFont val="Arial"/>
        <family val="2"/>
      </rPr>
      <t>2</t>
    </r>
  </si>
  <si>
    <t>h</t>
  </si>
  <si>
    <t>spessore</t>
  </si>
  <si>
    <t>altezza</t>
  </si>
  <si>
    <t>Sez. generiche:</t>
  </si>
  <si>
    <t>Rettangolare</t>
  </si>
  <si>
    <t>Tubo Rettang.</t>
  </si>
  <si>
    <t>Tubo Circolare</t>
  </si>
  <si>
    <t>Circolare</t>
  </si>
  <si>
    <t>s</t>
  </si>
  <si>
    <t>b o R</t>
  </si>
  <si>
    <t>sp. base</t>
  </si>
  <si>
    <t>sb</t>
  </si>
  <si>
    <t>Sezione a T</t>
  </si>
  <si>
    <t>MATERIALE:</t>
  </si>
  <si>
    <t>SEZIONE:</t>
  </si>
  <si>
    <t>base/diam.</t>
  </si>
  <si>
    <t>(daN/m)</t>
  </si>
  <si>
    <t>(m)</t>
  </si>
  <si>
    <t>(daN m)</t>
  </si>
  <si>
    <t>Vetro</t>
  </si>
  <si>
    <t>Comb. Carico:</t>
  </si>
  <si>
    <t>L / 500  Q tot. X  travi caric.da muri e tramezzi</t>
  </si>
  <si>
    <t>L / 400  Qa+P x travi solaio</t>
  </si>
  <si>
    <t>1 / 200  Q tot. X  Piccola orditura copertura</t>
  </si>
  <si>
    <t>freccia di riferimento:</t>
  </si>
  <si>
    <t>altro(inserie dati)</t>
  </si>
  <si>
    <t>Mod. Elastico</t>
  </si>
  <si>
    <t>Tens. Amm.</t>
  </si>
  <si>
    <t>Materiale:</t>
  </si>
  <si>
    <t>cerniera-cerniera</t>
  </si>
  <si>
    <t>incastro-incastro</t>
  </si>
  <si>
    <t>semincastro-semincastro</t>
  </si>
  <si>
    <t>vincolo</t>
  </si>
  <si>
    <t>PL/..</t>
  </si>
  <si>
    <r>
      <t>ql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/..</t>
    </r>
  </si>
  <si>
    <r>
      <t>..*PL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/EJ</t>
    </r>
  </si>
  <si>
    <t>daN</t>
  </si>
  <si>
    <r>
      <t>daN/cm</t>
    </r>
    <r>
      <rPr>
        <vertAlign val="superscript"/>
        <sz val="10"/>
        <rFont val="Arial"/>
        <family val="2"/>
      </rPr>
      <t>2</t>
    </r>
  </si>
  <si>
    <t>mensola</t>
  </si>
  <si>
    <t xml:space="preserve"> L/2</t>
  </si>
  <si>
    <t xml:space="preserve"> L</t>
  </si>
  <si>
    <r>
      <t>cm</t>
    </r>
    <r>
      <rPr>
        <vertAlign val="superscript"/>
        <sz val="10"/>
        <rFont val="Arial"/>
        <family val="2"/>
      </rPr>
      <t>2</t>
    </r>
  </si>
  <si>
    <r>
      <t>cm</t>
    </r>
    <r>
      <rPr>
        <vertAlign val="superscript"/>
        <sz val="10"/>
        <rFont val="Arial"/>
        <family val="2"/>
      </rPr>
      <t>4</t>
    </r>
  </si>
  <si>
    <r>
      <t>cm</t>
    </r>
    <r>
      <rPr>
        <vertAlign val="superscript"/>
        <sz val="10"/>
        <rFont val="Arial"/>
        <family val="2"/>
      </rPr>
      <t>3</t>
    </r>
  </si>
  <si>
    <r>
      <t>daN/m</t>
    </r>
    <r>
      <rPr>
        <vertAlign val="superscript"/>
        <sz val="10"/>
        <rFont val="Arial"/>
        <family val="2"/>
      </rPr>
      <t>2</t>
    </r>
  </si>
  <si>
    <t>Riferimento :</t>
  </si>
  <si>
    <t>Carico concentrato   P =</t>
  </si>
  <si>
    <t>Carico accidentale  Qa =</t>
  </si>
  <si>
    <t>Carico permanenete Qp =</t>
  </si>
  <si>
    <t>Verifica sezione più sollecitata:</t>
  </si>
  <si>
    <t xml:space="preserve">VERIFICA TRAVE </t>
  </si>
  <si>
    <t>INPUT DEI DATI:</t>
  </si>
  <si>
    <t>appl. P</t>
  </si>
  <si>
    <t>Ascissa</t>
  </si>
  <si>
    <t>Nota: l'ascissa di applicazione di P è solo indicativa, nel calcolo entra la Luce totale L</t>
  </si>
  <si>
    <t>daN/m</t>
  </si>
  <si>
    <r>
      <t>Coeff. Momento (Q 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/..)</t>
    </r>
  </si>
  <si>
    <r>
      <t>..*QL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/EJ</t>
    </r>
  </si>
  <si>
    <t xml:space="preserve"> dimensioni in mm</t>
  </si>
  <si>
    <t>incastro-cerniera</t>
  </si>
  <si>
    <t>cer.-cer. Q triang. max al centro</t>
  </si>
  <si>
    <t>Calcolo freccia senza verifica</t>
  </si>
  <si>
    <t>N° travi</t>
  </si>
  <si>
    <t>ascissa di applicazione in colonna S</t>
  </si>
  <si>
    <t>Yg mm</t>
  </si>
  <si>
    <t>A cmq</t>
  </si>
  <si>
    <t>carico acc</t>
  </si>
  <si>
    <t>carico perm</t>
  </si>
  <si>
    <t>luci</t>
  </si>
  <si>
    <t>= Mb            Mc =</t>
  </si>
  <si>
    <t>Q totale</t>
  </si>
  <si>
    <t>campata 1</t>
  </si>
  <si>
    <t>campata 2</t>
  </si>
  <si>
    <t>campata 3</t>
  </si>
  <si>
    <t>M appoggi  K =</t>
  </si>
  <si>
    <t>M appoggi =</t>
  </si>
  <si>
    <t>/0</t>
  </si>
  <si>
    <t>M+ campata K =</t>
  </si>
  <si>
    <t>M+ campata =</t>
  </si>
  <si>
    <t>Kg/mq</t>
  </si>
  <si>
    <t>kgm</t>
  </si>
  <si>
    <t>TRAVI CONTINUE SEMPLICEMENTE APPOGGIATE:</t>
  </si>
  <si>
    <t xml:space="preserve">TRAVE  A 2 CAMPATE </t>
  </si>
  <si>
    <t>Mb =</t>
  </si>
  <si>
    <t>M appoggio  K =</t>
  </si>
  <si>
    <t>TRAVE  SEMPLICEMENTE APPOGGIATA A 3 CAMPATE:</t>
  </si>
  <si>
    <t>se M=0 =&gt; calcolo automatico</t>
  </si>
  <si>
    <t>AREA DI STAMPA</t>
  </si>
  <si>
    <r>
      <t>Momento di inerzia  J = cm</t>
    </r>
    <r>
      <rPr>
        <vertAlign val="superscript"/>
        <sz val="10"/>
        <rFont val="Arial"/>
        <family val="2"/>
      </rPr>
      <t>4</t>
    </r>
  </si>
  <si>
    <r>
      <t>Modulo di resistenza W=cm</t>
    </r>
    <r>
      <rPr>
        <vertAlign val="superscript"/>
        <sz val="10"/>
        <rFont val="Arial"/>
        <family val="2"/>
      </rPr>
      <t>3</t>
    </r>
  </si>
  <si>
    <t>largh. di influenza carico i =</t>
  </si>
  <si>
    <t>larghezza di carico Q, i =</t>
  </si>
  <si>
    <t>Peso spec.</t>
  </si>
  <si>
    <t>peso proprio qg =</t>
  </si>
  <si>
    <t>Peso specifico =</t>
  </si>
  <si>
    <r>
      <t>daN/m</t>
    </r>
    <r>
      <rPr>
        <vertAlign val="superscript"/>
        <sz val="10"/>
        <rFont val="Arial"/>
        <family val="2"/>
      </rPr>
      <t>3</t>
    </r>
  </si>
  <si>
    <t>Carico lineare perm.  qp =</t>
  </si>
  <si>
    <t>coef.sis.vert.</t>
  </si>
  <si>
    <t>altro (inserire dati)</t>
  </si>
  <si>
    <t>L / 300  Qtot x travi in genere</t>
  </si>
  <si>
    <t>FRECCIA DI RIFERIMENTO</t>
  </si>
  <si>
    <t>Denominazione:</t>
  </si>
  <si>
    <t>altra sezione</t>
  </si>
  <si>
    <t>Doppio T</t>
  </si>
  <si>
    <t>base inf.</t>
  </si>
  <si>
    <t>bi</t>
  </si>
  <si>
    <t>B</t>
  </si>
  <si>
    <t>b</t>
  </si>
  <si>
    <t>H</t>
  </si>
  <si>
    <t>e</t>
  </si>
  <si>
    <t>a</t>
  </si>
  <si>
    <t>Sezione trave:</t>
  </si>
  <si>
    <t>Luce di calcolo</t>
  </si>
  <si>
    <t xml:space="preserve"> L =</t>
  </si>
  <si>
    <t>Sezione</t>
  </si>
  <si>
    <t>RIFERIMENTO:</t>
  </si>
  <si>
    <t>sp.altezza</t>
  </si>
  <si>
    <t>Ybaric.</t>
  </si>
  <si>
    <t>da base inf.</t>
  </si>
  <si>
    <t>(c.s.v.=0; 0,2; 0,4)</t>
  </si>
  <si>
    <t>(metodo delle tensioni ammissibili - sezione interamente reagente)</t>
  </si>
  <si>
    <t>se qg=0 =&gt; calcolo automatico</t>
  </si>
  <si>
    <t>Profilo</t>
  </si>
  <si>
    <t>g</t>
  </si>
  <si>
    <t>A</t>
  </si>
  <si>
    <t>Jx</t>
  </si>
  <si>
    <t>Wx</t>
  </si>
  <si>
    <t>ix</t>
  </si>
  <si>
    <t>Jy</t>
  </si>
  <si>
    <t>Wy</t>
  </si>
  <si>
    <t>OM100x50x30x2</t>
  </si>
  <si>
    <t>OM100x50x30x2,5</t>
  </si>
  <si>
    <t>OM100x50x30x3</t>
  </si>
  <si>
    <t>OM100x60x30x2</t>
  </si>
  <si>
    <t>OM100x60x30x2,5</t>
  </si>
  <si>
    <t>OM100x60x30x3</t>
  </si>
  <si>
    <t>OM120x60x30x2</t>
  </si>
  <si>
    <t>OM120x60x30x2,5</t>
  </si>
  <si>
    <t>OM120x60x30x3</t>
  </si>
  <si>
    <t>OM120x60x30x3,5</t>
  </si>
  <si>
    <t>OM120x80x40x2</t>
  </si>
  <si>
    <t>OM120x80x40x2,5</t>
  </si>
  <si>
    <t>OM120x80x40x3</t>
  </si>
  <si>
    <t>OM120x80x40x3,5</t>
  </si>
  <si>
    <t>OM150x80x40x2</t>
  </si>
  <si>
    <t>OM150x80x40x2,5</t>
  </si>
  <si>
    <t>OM150x80x40x3</t>
  </si>
  <si>
    <t>OM150x80x40x3,5</t>
  </si>
  <si>
    <t>OM180x80x40x2</t>
  </si>
  <si>
    <t>OM180x80x40x2,5</t>
  </si>
  <si>
    <t>OM180x80x40x3</t>
  </si>
  <si>
    <t>OM180x80x40x3,5</t>
  </si>
  <si>
    <t>OM180x100x45x2</t>
  </si>
  <si>
    <t>OM180x100x45x2,5</t>
  </si>
  <si>
    <t>OM180x100x45x3</t>
  </si>
  <si>
    <t>OM180x100x45x3,5</t>
  </si>
  <si>
    <t>OM180x100x45x4</t>
  </si>
  <si>
    <t>OM40x25x15x2</t>
  </si>
  <si>
    <t>OM40x40x15x2</t>
  </si>
  <si>
    <t>OM45x30x20x2,5</t>
  </si>
  <si>
    <t>OM45x30x15x2,5</t>
  </si>
  <si>
    <t>OM50x25x15x2,5</t>
  </si>
  <si>
    <t>OM60x25x20x2,5</t>
  </si>
  <si>
    <t>OM60x25x20x3</t>
  </si>
  <si>
    <t>OM80x40x25x3</t>
  </si>
  <si>
    <t>OM80x40x25x2</t>
  </si>
  <si>
    <t>OM80x40x25x2,5</t>
  </si>
  <si>
    <t>OM90x40x25x2</t>
  </si>
  <si>
    <t>OM90x40x25x2,5</t>
  </si>
  <si>
    <t>OM50x25x15x2</t>
  </si>
  <si>
    <t>app.-app. Q triang.</t>
  </si>
  <si>
    <t>Coeff. combinaz.</t>
  </si>
  <si>
    <t>peso prop.G</t>
  </si>
  <si>
    <t>car. perm.P</t>
  </si>
  <si>
    <t>car var. Q</t>
  </si>
  <si>
    <t>car.lineare ql</t>
  </si>
  <si>
    <t>peso proprio G =</t>
  </si>
  <si>
    <t>Resistenza di calcolo =</t>
  </si>
  <si>
    <t>Res.calc. Fd</t>
  </si>
  <si>
    <t>Carico Permanente P =</t>
  </si>
  <si>
    <t>Carico accidentale  Q =</t>
  </si>
  <si>
    <t>Carico lineare perm.  q =</t>
  </si>
  <si>
    <t>Carico concentrato p =</t>
  </si>
  <si>
    <t>Coeff. Momento (p L /..)</t>
  </si>
  <si>
    <t>car.conc. P</t>
  </si>
  <si>
    <t>(metodo stato limite - sezione interamente reagente)</t>
  </si>
  <si>
    <t>OM90x40x25x3</t>
  </si>
  <si>
    <t>Jy =</t>
  </si>
  <si>
    <t>Wy =</t>
  </si>
  <si>
    <r>
      <t xml:space="preserve">rotazione sezione </t>
    </r>
    <r>
      <rPr>
        <sz val="10"/>
        <rFont val="GreekC"/>
        <family val="0"/>
      </rPr>
      <t>a</t>
    </r>
    <r>
      <rPr>
        <sz val="10"/>
        <rFont val="Arial"/>
        <family val="2"/>
      </rPr>
      <t xml:space="preserve"> =</t>
    </r>
  </si>
  <si>
    <t>°</t>
  </si>
  <si>
    <t>tensione massima totale =</t>
  </si>
  <si>
    <t>Jz =</t>
  </si>
  <si>
    <t>Wz =</t>
  </si>
  <si>
    <t>M max M =</t>
  </si>
  <si>
    <t>nota:</t>
  </si>
  <si>
    <t>Jy cm4</t>
  </si>
  <si>
    <t>Wy cm3</t>
  </si>
  <si>
    <t>Jz cm4</t>
  </si>
  <si>
    <t>Wz cm3</t>
  </si>
  <si>
    <t>Calcolate (non tabulate)</t>
  </si>
  <si>
    <t>frecce massime =</t>
  </si>
  <si>
    <t>freccia totale =</t>
  </si>
  <si>
    <t>Verifica sezione più sollecitata SLU:</t>
  </si>
  <si>
    <t>Coeff. Comb SLE.</t>
  </si>
  <si>
    <t>Coeff. Comb. SLU</t>
  </si>
  <si>
    <t>Verifica a deformazione SLE:</t>
  </si>
  <si>
    <t>Verifica a deformazione:</t>
  </si>
  <si>
    <t>direz.2</t>
  </si>
  <si>
    <t>diez. 3</t>
  </si>
  <si>
    <t>le tensioni dir 2 e 3 sono sommate come se nello stesso punto.</t>
  </si>
  <si>
    <t>VERIFICA TRAVE</t>
  </si>
  <si>
    <t>Versione 23/01/07</t>
  </si>
  <si>
    <t>(da verificare la resistenza del vetro)</t>
  </si>
  <si>
    <r>
      <t xml:space="preserve">STUDIO DI </t>
    </r>
    <r>
      <rPr>
        <b/>
        <sz val="9"/>
        <color indexed="12"/>
        <rFont val="Arial"/>
        <family val="2"/>
      </rPr>
      <t>INGEGNERIA STRUTTURALE</t>
    </r>
    <r>
      <rPr>
        <sz val="9"/>
        <color indexed="12"/>
        <rFont val="Arial"/>
        <family val="2"/>
      </rPr>
      <t xml:space="preserve"> Ing. Gino DI RUZZA</t>
    </r>
  </si>
  <si>
    <t>PROGETTAZIONI    ED    INDAGINI     STRUTTURALI</t>
  </si>
  <si>
    <t>SORA (FR)  - ginodiruzza@tin.it</t>
  </si>
  <si>
    <t xml:space="preserve">direz.2 </t>
  </si>
  <si>
    <t xml:space="preserve">diez. 3 </t>
  </si>
  <si>
    <t>Predimensionamento in dir 2:</t>
  </si>
  <si>
    <t>ARCARECCI OMEGA COPERTURA</t>
  </si>
  <si>
    <t>Le tensioni dir 2 e 3 sono sommate come se nello stesso punto.</t>
  </si>
  <si>
    <t>Versione 24/07/08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</si>
</sst>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000"/>
    <numFmt numFmtId="175" formatCode="&quot;FeB&quot;0&quot;k&quot;"/>
    <numFmt numFmtId="176" formatCode="0.0"/>
    <numFmt numFmtId="177" formatCode="&quot;n fi &quot;0"/>
    <numFmt numFmtId="178" formatCode="&quot;Rbk&quot;0"/>
    <numFmt numFmtId="179" formatCode="&quot;&lt; L /&quot;0"/>
    <numFmt numFmtId="180" formatCode="&quot;n. fi &quot;0"/>
    <numFmt numFmtId="181" formatCode="0.000"/>
    <numFmt numFmtId="182" formatCode="&quot; fi &quot;0"/>
  </numFmts>
  <fonts count="35">
    <font>
      <sz val="10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22"/>
      <name val="Arial"/>
      <family val="2"/>
    </font>
    <font>
      <sz val="10"/>
      <color indexed="14"/>
      <name val="Arial"/>
      <family val="2"/>
    </font>
    <font>
      <b/>
      <sz val="12"/>
      <color indexed="14"/>
      <name val="Arial"/>
      <family val="2"/>
    </font>
    <font>
      <sz val="10"/>
      <color indexed="11"/>
      <name val="Arial"/>
      <family val="2"/>
    </font>
    <font>
      <b/>
      <sz val="12"/>
      <color indexed="11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0"/>
    </font>
    <font>
      <sz val="10"/>
      <name val="GreekC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/>
      <top style="medium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slantDashDot">
        <color indexed="39"/>
      </left>
      <right>
        <color indexed="63"/>
      </right>
      <top style="slantDashDot">
        <color indexed="39"/>
      </top>
      <bottom style="slantDashDot">
        <color indexed="39"/>
      </bottom>
    </border>
    <border>
      <left>
        <color indexed="63"/>
      </left>
      <right>
        <color indexed="63"/>
      </right>
      <top style="slantDashDot">
        <color indexed="39"/>
      </top>
      <bottom style="slantDashDot">
        <color indexed="39"/>
      </bottom>
    </border>
    <border>
      <left>
        <color indexed="63"/>
      </left>
      <right style="slantDashDot">
        <color indexed="39"/>
      </right>
      <top style="slantDashDot">
        <color indexed="39"/>
      </top>
      <bottom style="slantDashDot">
        <color indexed="39"/>
      </bottom>
    </border>
    <border>
      <left style="slantDashDot">
        <color indexed="39"/>
      </left>
      <right>
        <color indexed="63"/>
      </right>
      <top>
        <color indexed="63"/>
      </top>
      <bottom style="slantDashDot">
        <color indexed="39"/>
      </bottom>
    </border>
    <border>
      <left>
        <color indexed="63"/>
      </left>
      <right>
        <color indexed="63"/>
      </right>
      <top>
        <color indexed="63"/>
      </top>
      <bottom style="slantDashDot">
        <color indexed="39"/>
      </bottom>
    </border>
    <border>
      <left>
        <color indexed="63"/>
      </left>
      <right style="slantDashDot">
        <color indexed="39"/>
      </right>
      <top>
        <color indexed="63"/>
      </top>
      <bottom style="slantDashDot">
        <color indexed="3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3" fillId="0" borderId="1" xfId="18" applyFont="1" applyFill="1" applyBorder="1" applyAlignment="1">
      <alignment horizontal="right" wrapText="1"/>
      <protection/>
    </xf>
    <xf numFmtId="4" fontId="3" fillId="0" borderId="1" xfId="18" applyNumberFormat="1" applyFont="1" applyFill="1" applyBorder="1" applyAlignment="1">
      <alignment horizontal="right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2" borderId="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3" fillId="0" borderId="4" xfId="18" applyFont="1" applyFill="1" applyBorder="1" applyAlignment="1">
      <alignment horizontal="left" wrapText="1"/>
      <protection/>
    </xf>
    <xf numFmtId="0" fontId="3" fillId="0" borderId="5" xfId="18" applyFont="1" applyFill="1" applyBorder="1" applyAlignment="1">
      <alignment horizontal="right" wrapText="1"/>
      <protection/>
    </xf>
    <xf numFmtId="4" fontId="3" fillId="0" borderId="5" xfId="18" applyNumberFormat="1" applyFont="1" applyFill="1" applyBorder="1" applyAlignment="1">
      <alignment horizontal="right" wrapText="1"/>
      <protection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3" fillId="0" borderId="9" xfId="18" applyFont="1" applyFill="1" applyBorder="1" applyAlignment="1">
      <alignment horizontal="left" wrapText="1"/>
      <protection/>
    </xf>
    <xf numFmtId="0" fontId="3" fillId="0" borderId="10" xfId="18" applyFont="1" applyFill="1" applyBorder="1" applyAlignment="1">
      <alignment horizontal="right" wrapText="1"/>
      <protection/>
    </xf>
    <xf numFmtId="0" fontId="3" fillId="0" borderId="11" xfId="18" applyFont="1" applyFill="1" applyBorder="1" applyAlignment="1">
      <alignment horizontal="right" wrapText="1"/>
      <protection/>
    </xf>
    <xf numFmtId="0" fontId="3" fillId="0" borderId="12" xfId="18" applyFont="1" applyFill="1" applyBorder="1" applyAlignment="1">
      <alignment horizontal="left" wrapText="1"/>
      <protection/>
    </xf>
    <xf numFmtId="0" fontId="3" fillId="0" borderId="13" xfId="18" applyFont="1" applyFill="1" applyBorder="1" applyAlignment="1">
      <alignment horizontal="right" wrapText="1"/>
      <protection/>
    </xf>
    <xf numFmtId="0" fontId="3" fillId="0" borderId="14" xfId="18" applyFont="1" applyFill="1" applyBorder="1" applyAlignment="1">
      <alignment horizontal="right" wrapText="1"/>
      <protection/>
    </xf>
    <xf numFmtId="4" fontId="3" fillId="0" borderId="10" xfId="18" applyNumberFormat="1" applyFont="1" applyFill="1" applyBorder="1" applyAlignment="1">
      <alignment horizontal="right" wrapText="1"/>
      <protection/>
    </xf>
    <xf numFmtId="4" fontId="3" fillId="0" borderId="11" xfId="18" applyNumberFormat="1" applyFont="1" applyFill="1" applyBorder="1" applyAlignment="1">
      <alignment horizontal="right" wrapText="1"/>
      <protection/>
    </xf>
    <xf numFmtId="4" fontId="3" fillId="0" borderId="13" xfId="18" applyNumberFormat="1" applyFont="1" applyFill="1" applyBorder="1" applyAlignment="1">
      <alignment horizontal="right" wrapText="1"/>
      <protection/>
    </xf>
    <xf numFmtId="4" fontId="3" fillId="0" borderId="14" xfId="18" applyNumberFormat="1" applyFont="1" applyFill="1" applyBorder="1" applyAlignment="1">
      <alignment horizontal="right" wrapText="1"/>
      <protection/>
    </xf>
    <xf numFmtId="0" fontId="3" fillId="3" borderId="15" xfId="18" applyFont="1" applyFill="1" applyBorder="1" applyAlignment="1">
      <alignment horizontal="center"/>
      <protection/>
    </xf>
    <xf numFmtId="0" fontId="3" fillId="3" borderId="16" xfId="18" applyFont="1" applyFill="1" applyBorder="1" applyAlignment="1">
      <alignment horizontal="center"/>
      <protection/>
    </xf>
    <xf numFmtId="0" fontId="3" fillId="3" borderId="17" xfId="18" applyFont="1" applyFill="1" applyBorder="1" applyAlignment="1">
      <alignment horizontal="center"/>
      <protection/>
    </xf>
    <xf numFmtId="0" fontId="0" fillId="4" borderId="18" xfId="0" applyFont="1" applyFill="1" applyBorder="1" applyAlignment="1">
      <alignment horizontal="center"/>
    </xf>
    <xf numFmtId="0" fontId="3" fillId="3" borderId="19" xfId="18" applyFont="1" applyFill="1" applyBorder="1" applyAlignment="1">
      <alignment horizontal="center"/>
      <protection/>
    </xf>
    <xf numFmtId="0" fontId="3" fillId="0" borderId="20" xfId="18" applyFont="1" applyFill="1" applyBorder="1" applyAlignment="1">
      <alignment horizontal="right" wrapText="1"/>
      <protection/>
    </xf>
    <xf numFmtId="0" fontId="3" fillId="0" borderId="21" xfId="18" applyFont="1" applyFill="1" applyBorder="1" applyAlignment="1">
      <alignment horizontal="right" wrapText="1"/>
      <protection/>
    </xf>
    <xf numFmtId="0" fontId="3" fillId="0" borderId="22" xfId="18" applyFont="1" applyFill="1" applyBorder="1" applyAlignment="1">
      <alignment horizontal="right" wrapText="1"/>
      <protection/>
    </xf>
    <xf numFmtId="4" fontId="3" fillId="0" borderId="20" xfId="18" applyNumberFormat="1" applyFont="1" applyFill="1" applyBorder="1" applyAlignment="1">
      <alignment horizontal="right" wrapText="1"/>
      <protection/>
    </xf>
    <xf numFmtId="4" fontId="3" fillId="0" borderId="21" xfId="18" applyNumberFormat="1" applyFont="1" applyFill="1" applyBorder="1" applyAlignment="1">
      <alignment horizontal="right" wrapText="1"/>
      <protection/>
    </xf>
    <xf numFmtId="4" fontId="3" fillId="0" borderId="22" xfId="18" applyNumberFormat="1" applyFont="1" applyFill="1" applyBorder="1" applyAlignment="1">
      <alignment horizontal="right" wrapText="1"/>
      <protection/>
    </xf>
    <xf numFmtId="0" fontId="3" fillId="3" borderId="23" xfId="18" applyFont="1" applyFill="1" applyBorder="1" applyAlignment="1">
      <alignment horizontal="center"/>
      <protection/>
    </xf>
    <xf numFmtId="0" fontId="3" fillId="0" borderId="24" xfId="18" applyFont="1" applyFill="1" applyBorder="1" applyAlignment="1">
      <alignment horizontal="right" wrapText="1"/>
      <protection/>
    </xf>
    <xf numFmtId="0" fontId="3" fillId="0" borderId="25" xfId="18" applyFont="1" applyFill="1" applyBorder="1" applyAlignment="1">
      <alignment horizontal="right" wrapText="1"/>
      <protection/>
    </xf>
    <xf numFmtId="0" fontId="3" fillId="0" borderId="26" xfId="18" applyFont="1" applyFill="1" applyBorder="1" applyAlignment="1">
      <alignment horizontal="right" wrapText="1"/>
      <protection/>
    </xf>
    <xf numFmtId="4" fontId="3" fillId="0" borderId="24" xfId="18" applyNumberFormat="1" applyFont="1" applyFill="1" applyBorder="1" applyAlignment="1">
      <alignment horizontal="right" wrapText="1"/>
      <protection/>
    </xf>
    <xf numFmtId="4" fontId="3" fillId="0" borderId="25" xfId="18" applyNumberFormat="1" applyFont="1" applyFill="1" applyBorder="1" applyAlignment="1">
      <alignment horizontal="right" wrapText="1"/>
      <protection/>
    </xf>
    <xf numFmtId="4" fontId="3" fillId="0" borderId="26" xfId="18" applyNumberFormat="1" applyFont="1" applyFill="1" applyBorder="1" applyAlignment="1">
      <alignment horizontal="right" wrapText="1"/>
      <protection/>
    </xf>
    <xf numFmtId="0" fontId="3" fillId="3" borderId="27" xfId="18" applyFont="1" applyFill="1" applyBorder="1" applyAlignment="1">
      <alignment horizontal="center"/>
      <protection/>
    </xf>
    <xf numFmtId="0" fontId="3" fillId="3" borderId="28" xfId="18" applyFont="1" applyFill="1" applyBorder="1" applyAlignment="1">
      <alignment horizontal="center"/>
      <protection/>
    </xf>
    <xf numFmtId="0" fontId="3" fillId="3" borderId="29" xfId="18" applyFont="1" applyFill="1" applyBorder="1" applyAlignment="1">
      <alignment horizontal="center"/>
      <protection/>
    </xf>
    <xf numFmtId="0" fontId="3" fillId="0" borderId="30" xfId="18" applyFont="1" applyFill="1" applyBorder="1" applyAlignment="1">
      <alignment horizontal="right" wrapText="1"/>
      <protection/>
    </xf>
    <xf numFmtId="0" fontId="3" fillId="0" borderId="31" xfId="18" applyFont="1" applyFill="1" applyBorder="1" applyAlignment="1">
      <alignment horizontal="right" wrapText="1"/>
      <protection/>
    </xf>
    <xf numFmtId="0" fontId="3" fillId="0" borderId="32" xfId="18" applyFont="1" applyFill="1" applyBorder="1" applyAlignment="1">
      <alignment horizontal="right" wrapText="1"/>
      <protection/>
    </xf>
    <xf numFmtId="0" fontId="3" fillId="0" borderId="33" xfId="18" applyFont="1" applyFill="1" applyBorder="1" applyAlignment="1">
      <alignment horizontal="right" wrapText="1"/>
      <protection/>
    </xf>
    <xf numFmtId="0" fontId="3" fillId="0" borderId="34" xfId="18" applyFont="1" applyFill="1" applyBorder="1" applyAlignment="1">
      <alignment horizontal="right" wrapText="1"/>
      <protection/>
    </xf>
    <xf numFmtId="0" fontId="3" fillId="0" borderId="35" xfId="18" applyFont="1" applyFill="1" applyBorder="1" applyAlignment="1">
      <alignment horizontal="right" wrapText="1"/>
      <protection/>
    </xf>
    <xf numFmtId="4" fontId="3" fillId="0" borderId="30" xfId="18" applyNumberFormat="1" applyFont="1" applyFill="1" applyBorder="1" applyAlignment="1">
      <alignment horizontal="right" wrapText="1"/>
      <protection/>
    </xf>
    <xf numFmtId="4" fontId="3" fillId="0" borderId="31" xfId="18" applyNumberFormat="1" applyFont="1" applyFill="1" applyBorder="1" applyAlignment="1">
      <alignment horizontal="right" wrapText="1"/>
      <protection/>
    </xf>
    <xf numFmtId="4" fontId="3" fillId="0" borderId="32" xfId="18" applyNumberFormat="1" applyFont="1" applyFill="1" applyBorder="1" applyAlignment="1">
      <alignment horizontal="right" wrapText="1"/>
      <protection/>
    </xf>
    <xf numFmtId="4" fontId="3" fillId="0" borderId="33" xfId="18" applyNumberFormat="1" applyFont="1" applyFill="1" applyBorder="1" applyAlignment="1">
      <alignment horizontal="right" wrapText="1"/>
      <protection/>
    </xf>
    <xf numFmtId="4" fontId="3" fillId="0" borderId="34" xfId="18" applyNumberFormat="1" applyFont="1" applyFill="1" applyBorder="1" applyAlignment="1">
      <alignment horizontal="right" wrapText="1"/>
      <protection/>
    </xf>
    <xf numFmtId="4" fontId="3" fillId="0" borderId="35" xfId="18" applyNumberFormat="1" applyFont="1" applyFill="1" applyBorder="1" applyAlignment="1">
      <alignment horizontal="right" wrapText="1"/>
      <protection/>
    </xf>
    <xf numFmtId="0" fontId="3" fillId="0" borderId="36" xfId="18" applyFont="1" applyFill="1" applyBorder="1" applyAlignment="1">
      <alignment horizontal="right" wrapText="1"/>
      <protection/>
    </xf>
    <xf numFmtId="0" fontId="0" fillId="0" borderId="37" xfId="0" applyBorder="1" applyAlignment="1">
      <alignment horizontal="center"/>
    </xf>
    <xf numFmtId="0" fontId="0" fillId="4" borderId="38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9" fillId="5" borderId="41" xfId="0" applyFont="1" applyFill="1" applyBorder="1" applyAlignment="1">
      <alignment/>
    </xf>
    <xf numFmtId="0" fontId="5" fillId="2" borderId="42" xfId="0" applyFont="1" applyFill="1" applyBorder="1" applyAlignment="1">
      <alignment/>
    </xf>
    <xf numFmtId="0" fontId="5" fillId="2" borderId="43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8" fillId="0" borderId="42" xfId="0" applyFont="1" applyBorder="1" applyAlignment="1">
      <alignment/>
    </xf>
    <xf numFmtId="0" fontId="8" fillId="0" borderId="44" xfId="0" applyFont="1" applyBorder="1" applyAlignment="1">
      <alignment/>
    </xf>
    <xf numFmtId="0" fontId="16" fillId="0" borderId="0" xfId="0" applyFont="1" applyAlignment="1">
      <alignment horizontal="right"/>
    </xf>
    <xf numFmtId="0" fontId="8" fillId="0" borderId="6" xfId="0" applyFont="1" applyBorder="1" applyAlignment="1">
      <alignment/>
    </xf>
    <xf numFmtId="0" fontId="8" fillId="0" borderId="6" xfId="0" applyFont="1" applyFill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45" xfId="0" applyFont="1" applyBorder="1" applyAlignment="1">
      <alignment/>
    </xf>
    <xf numFmtId="3" fontId="0" fillId="0" borderId="6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6" xfId="0" applyFont="1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48" xfId="0" applyFont="1" applyBorder="1" applyAlignment="1">
      <alignment/>
    </xf>
    <xf numFmtId="0" fontId="8" fillId="0" borderId="37" xfId="0" applyFont="1" applyBorder="1" applyAlignment="1">
      <alignment/>
    </xf>
    <xf numFmtId="0" fontId="0" fillId="2" borderId="49" xfId="0" applyFont="1" applyFill="1" applyBorder="1" applyAlignment="1" applyProtection="1">
      <alignment horizontal="center"/>
      <protection locked="0"/>
    </xf>
    <xf numFmtId="0" fontId="0" fillId="2" borderId="18" xfId="0" applyFont="1" applyFill="1" applyBorder="1" applyAlignment="1" applyProtection="1">
      <alignment horizontal="center"/>
      <protection locked="0"/>
    </xf>
    <xf numFmtId="0" fontId="0" fillId="2" borderId="50" xfId="0" applyFont="1" applyFill="1" applyBorder="1" applyAlignment="1" applyProtection="1">
      <alignment horizontal="center"/>
      <protection locked="0"/>
    </xf>
    <xf numFmtId="0" fontId="0" fillId="2" borderId="51" xfId="0" applyFont="1" applyFill="1" applyBorder="1" applyAlignment="1" applyProtection="1">
      <alignment horizontal="center"/>
      <protection locked="0"/>
    </xf>
    <xf numFmtId="2" fontId="9" fillId="2" borderId="41" xfId="0" applyNumberFormat="1" applyFont="1" applyFill="1" applyBorder="1" applyAlignment="1" applyProtection="1">
      <alignment/>
      <protection locked="0"/>
    </xf>
    <xf numFmtId="0" fontId="9" fillId="2" borderId="41" xfId="0" applyFont="1" applyFill="1" applyBorder="1" applyAlignment="1" applyProtection="1">
      <alignment/>
      <protection locked="0"/>
    </xf>
    <xf numFmtId="0" fontId="0" fillId="2" borderId="41" xfId="0" applyFont="1" applyFill="1" applyBorder="1" applyAlignment="1" applyProtection="1">
      <alignment/>
      <protection locked="0"/>
    </xf>
    <xf numFmtId="0" fontId="5" fillId="2" borderId="47" xfId="0" applyFont="1" applyFill="1" applyBorder="1" applyAlignment="1" applyProtection="1">
      <alignment/>
      <protection locked="0"/>
    </xf>
    <xf numFmtId="0" fontId="8" fillId="2" borderId="47" xfId="0" applyFont="1" applyFill="1" applyBorder="1" applyAlignment="1" applyProtection="1">
      <alignment/>
      <protection locked="0"/>
    </xf>
    <xf numFmtId="0" fontId="15" fillId="0" borderId="0" xfId="0" applyFont="1" applyFill="1" applyAlignment="1">
      <alignment horizontal="center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175" fontId="3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3" fontId="0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2" fontId="9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5" fillId="5" borderId="0" xfId="0" applyFont="1" applyFill="1" applyAlignment="1" applyProtection="1">
      <alignment/>
      <protection hidden="1"/>
    </xf>
    <xf numFmtId="175" fontId="3" fillId="6" borderId="0" xfId="0" applyFill="1" applyAlignment="1" applyProtection="1">
      <alignment horizontal="center"/>
      <protection hidden="1"/>
    </xf>
    <xf numFmtId="0" fontId="0" fillId="5" borderId="0" xfId="0" applyFont="1" applyFill="1" applyAlignment="1" applyProtection="1">
      <alignment/>
      <protection hidden="1"/>
    </xf>
    <xf numFmtId="0" fontId="8" fillId="5" borderId="0" xfId="0" applyFont="1" applyFill="1" applyAlignment="1">
      <alignment/>
    </xf>
    <xf numFmtId="0" fontId="13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 locked="0"/>
    </xf>
    <xf numFmtId="0" fontId="11" fillId="0" borderId="0" xfId="0" applyFont="1" applyAlignment="1" applyProtection="1">
      <alignment/>
      <protection hidden="1"/>
    </xf>
    <xf numFmtId="11" fontId="0" fillId="0" borderId="0" xfId="0" applyNumberFormat="1" applyFont="1" applyAlignment="1" applyProtection="1">
      <alignment/>
      <protection hidden="1"/>
    </xf>
    <xf numFmtId="1" fontId="9" fillId="0" borderId="0" xfId="0" applyNumberFormat="1" applyFont="1" applyAlignment="1" applyProtection="1">
      <alignment horizontal="left"/>
      <protection hidden="1"/>
    </xf>
    <xf numFmtId="179" fontId="0" fillId="0" borderId="0" xfId="0" applyNumberFormat="1" applyFont="1" applyAlignment="1" applyProtection="1">
      <alignment horizontal="left"/>
      <protection hidden="1"/>
    </xf>
    <xf numFmtId="0" fontId="10" fillId="2" borderId="44" xfId="0" applyFont="1" applyFill="1" applyBorder="1" applyAlignment="1">
      <alignment/>
    </xf>
    <xf numFmtId="0" fontId="10" fillId="2" borderId="46" xfId="0" applyFont="1" applyFill="1" applyBorder="1" applyAlignment="1">
      <alignment/>
    </xf>
    <xf numFmtId="0" fontId="5" fillId="5" borderId="0" xfId="0" applyFont="1" applyFill="1" applyAlignment="1">
      <alignment/>
    </xf>
    <xf numFmtId="0" fontId="5" fillId="5" borderId="0" xfId="0" applyFont="1" applyFill="1" applyAlignment="1">
      <alignment horizontal="right"/>
    </xf>
    <xf numFmtId="0" fontId="5" fillId="5" borderId="0" xfId="0" applyFont="1" applyFill="1" applyAlignment="1">
      <alignment horizontal="left"/>
    </xf>
    <xf numFmtId="0" fontId="9" fillId="0" borderId="44" xfId="0" applyFont="1" applyBorder="1" applyAlignment="1">
      <alignment horizontal="left"/>
    </xf>
    <xf numFmtId="0" fontId="0" fillId="0" borderId="46" xfId="0" applyBorder="1" applyAlignment="1">
      <alignment horizontal="center"/>
    </xf>
    <xf numFmtId="0" fontId="8" fillId="0" borderId="0" xfId="0" applyFont="1" applyAlignment="1">
      <alignment horizontal="right"/>
    </xf>
    <xf numFmtId="0" fontId="8" fillId="5" borderId="0" xfId="0" applyFont="1" applyFill="1" applyAlignment="1">
      <alignment horizontal="right"/>
    </xf>
    <xf numFmtId="0" fontId="8" fillId="0" borderId="0" xfId="0" applyFont="1" applyAlignment="1" applyProtection="1">
      <alignment/>
      <protection hidden="1"/>
    </xf>
    <xf numFmtId="0" fontId="0" fillId="0" borderId="52" xfId="0" applyFont="1" applyBorder="1" applyAlignment="1" applyProtection="1">
      <alignment horizontal="center"/>
      <protection hidden="1"/>
    </xf>
    <xf numFmtId="0" fontId="9" fillId="5" borderId="44" xfId="0" applyFont="1" applyFill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0" fillId="0" borderId="53" xfId="0" applyFont="1" applyBorder="1" applyAlignment="1" applyProtection="1">
      <alignment horizontal="center"/>
      <protection hidden="1"/>
    </xf>
    <xf numFmtId="0" fontId="8" fillId="0" borderId="52" xfId="0" applyFont="1" applyBorder="1" applyAlignment="1" applyProtection="1">
      <alignment/>
      <protection hidden="1"/>
    </xf>
    <xf numFmtId="0" fontId="8" fillId="0" borderId="52" xfId="0" applyFont="1" applyBorder="1" applyAlignment="1" applyProtection="1">
      <alignment horizontal="center"/>
      <protection hidden="1"/>
    </xf>
    <xf numFmtId="0" fontId="8" fillId="0" borderId="45" xfId="0" applyFont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 horizontal="center"/>
      <protection hidden="1"/>
    </xf>
    <xf numFmtId="0" fontId="8" fillId="0" borderId="45" xfId="0" applyFont="1" applyBorder="1" applyAlignment="1" applyProtection="1">
      <alignment/>
      <protection hidden="1"/>
    </xf>
    <xf numFmtId="0" fontId="0" fillId="0" borderId="55" xfId="0" applyFont="1" applyBorder="1" applyAlignment="1" applyProtection="1">
      <alignment horizontal="center"/>
      <protection hidden="1"/>
    </xf>
    <xf numFmtId="0" fontId="8" fillId="0" borderId="0" xfId="0" applyFont="1" applyBorder="1" applyAlignment="1">
      <alignment/>
    </xf>
    <xf numFmtId="0" fontId="0" fillId="2" borderId="41" xfId="0" applyFont="1" applyFill="1" applyBorder="1" applyAlignment="1" applyProtection="1">
      <alignment horizontal="center"/>
      <protection locked="0"/>
    </xf>
    <xf numFmtId="0" fontId="1" fillId="0" borderId="5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2" borderId="44" xfId="0" applyFont="1" applyFill="1" applyBorder="1" applyAlignment="1" applyProtection="1">
      <alignment/>
      <protection locked="0"/>
    </xf>
    <xf numFmtId="1" fontId="9" fillId="2" borderId="46" xfId="0" applyNumberFormat="1" applyFont="1" applyFill="1" applyBorder="1" applyAlignment="1" applyProtection="1">
      <alignment/>
      <protection locked="0"/>
    </xf>
    <xf numFmtId="2" fontId="9" fillId="0" borderId="0" xfId="0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0" fontId="12" fillId="0" borderId="8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42" xfId="0" applyFont="1" applyFill="1" applyBorder="1" applyAlignment="1">
      <alignment horizontal="right"/>
    </xf>
    <xf numFmtId="2" fontId="9" fillId="0" borderId="48" xfId="0" applyFont="1" applyFill="1" applyBorder="1" applyAlignment="1">
      <alignment horizontal="right"/>
    </xf>
    <xf numFmtId="2" fontId="9" fillId="0" borderId="48" xfId="0" applyFont="1" applyFill="1" applyBorder="1" applyAlignment="1">
      <alignment horizontal="left"/>
    </xf>
    <xf numFmtId="2" fontId="9" fillId="0" borderId="43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2" fontId="9" fillId="0" borderId="8" xfId="0" applyFont="1" applyFill="1" applyBorder="1" applyAlignment="1">
      <alignment horizontal="center"/>
    </xf>
    <xf numFmtId="2" fontId="9" fillId="0" borderId="2" xfId="0" applyFont="1" applyFill="1" applyBorder="1" applyAlignment="1">
      <alignment horizontal="center"/>
    </xf>
    <xf numFmtId="176" fontId="0" fillId="0" borderId="48" xfId="0" applyNumberFormat="1" applyFont="1" applyFill="1" applyBorder="1" applyAlignment="1">
      <alignment/>
    </xf>
    <xf numFmtId="0" fontId="0" fillId="0" borderId="48" xfId="0" applyFont="1" applyFill="1" applyBorder="1" applyAlignment="1" quotePrefix="1">
      <alignment horizontal="center"/>
    </xf>
    <xf numFmtId="176" fontId="0" fillId="0" borderId="43" xfId="0" applyNumberFormat="1" applyFont="1" applyFill="1" applyBorder="1" applyAlignment="1">
      <alignment horizontal="left"/>
    </xf>
    <xf numFmtId="176" fontId="0" fillId="0" borderId="8" xfId="0" applyNumberFormat="1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/>
    </xf>
    <xf numFmtId="0" fontId="0" fillId="5" borderId="56" xfId="0" applyFont="1" applyFill="1" applyBorder="1" applyAlignment="1" applyProtection="1">
      <alignment horizontal="center"/>
      <protection locked="0"/>
    </xf>
    <xf numFmtId="0" fontId="0" fillId="5" borderId="57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>
      <alignment horizontal="right"/>
    </xf>
    <xf numFmtId="0" fontId="0" fillId="7" borderId="58" xfId="0" applyFont="1" applyFill="1" applyBorder="1" applyAlignment="1" applyProtection="1">
      <alignment horizontal="center"/>
      <protection locked="0"/>
    </xf>
    <xf numFmtId="0" fontId="0" fillId="7" borderId="59" xfId="0" applyFont="1" applyFill="1" applyBorder="1" applyAlignment="1" applyProtection="1">
      <alignment horizontal="center"/>
      <protection locked="0"/>
    </xf>
    <xf numFmtId="0" fontId="0" fillId="8" borderId="60" xfId="0" applyFont="1" applyFill="1" applyBorder="1" applyAlignment="1" applyProtection="1">
      <alignment horizontal="center"/>
      <protection locked="0"/>
    </xf>
    <xf numFmtId="0" fontId="0" fillId="8" borderId="61" xfId="0" applyFont="1" applyFill="1" applyBorder="1" applyAlignment="1" applyProtection="1">
      <alignment horizontal="center"/>
      <protection locked="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8" borderId="62" xfId="0" applyFont="1" applyFill="1" applyBorder="1" applyAlignment="1" applyProtection="1">
      <alignment horizontal="center"/>
      <protection locked="0"/>
    </xf>
    <xf numFmtId="0" fontId="0" fillId="8" borderId="63" xfId="0" applyFont="1" applyFill="1" applyBorder="1" applyAlignment="1" applyProtection="1">
      <alignment horizontal="center"/>
      <protection locked="0"/>
    </xf>
    <xf numFmtId="0" fontId="0" fillId="0" borderId="48" xfId="0" applyBorder="1" applyAlignment="1">
      <alignment horizontal="right"/>
    </xf>
    <xf numFmtId="2" fontId="24" fillId="0" borderId="0" xfId="0" applyNumberFormat="1" applyFont="1" applyAlignment="1" applyProtection="1">
      <alignment/>
      <protection hidden="1"/>
    </xf>
    <xf numFmtId="0" fontId="0" fillId="0" borderId="64" xfId="0" applyFont="1" applyBorder="1" applyAlignment="1">
      <alignment/>
    </xf>
    <xf numFmtId="0" fontId="5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5" fillId="0" borderId="67" xfId="0" applyFont="1" applyBorder="1" applyAlignment="1">
      <alignment/>
    </xf>
    <xf numFmtId="176" fontId="5" fillId="0" borderId="1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0" fillId="0" borderId="0" xfId="0" applyNumberFormat="1" applyFont="1" applyFill="1" applyAlignment="1" applyProtection="1">
      <alignment/>
      <protection hidden="1"/>
    </xf>
    <xf numFmtId="176" fontId="9" fillId="0" borderId="0" xfId="0" applyNumberFormat="1" applyFont="1" applyFill="1" applyAlignment="1" applyProtection="1">
      <alignment/>
      <protection hidden="1"/>
    </xf>
    <xf numFmtId="2" fontId="0" fillId="0" borderId="0" xfId="0" applyNumberFormat="1" applyFont="1" applyAlignment="1" applyProtection="1">
      <alignment horizontal="right"/>
      <protection hidden="1"/>
    </xf>
    <xf numFmtId="0" fontId="9" fillId="0" borderId="41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8" fillId="0" borderId="68" xfId="0" applyFont="1" applyBorder="1" applyAlignment="1">
      <alignment/>
    </xf>
    <xf numFmtId="0" fontId="8" fillId="0" borderId="69" xfId="0" applyFont="1" applyBorder="1" applyAlignment="1">
      <alignment/>
    </xf>
    <xf numFmtId="0" fontId="8" fillId="0" borderId="70" xfId="0" applyFont="1" applyBorder="1" applyAlignment="1">
      <alignment/>
    </xf>
    <xf numFmtId="0" fontId="0" fillId="2" borderId="41" xfId="0" applyFont="1" applyFill="1" applyBorder="1" applyAlignment="1" applyProtection="1">
      <alignment horizontal="right"/>
      <protection locked="0"/>
    </xf>
    <xf numFmtId="1" fontId="24" fillId="0" borderId="0" xfId="0" applyNumberFormat="1" applyFont="1" applyAlignment="1" applyProtection="1">
      <alignment/>
      <protection hidden="1"/>
    </xf>
    <xf numFmtId="0" fontId="0" fillId="0" borderId="71" xfId="0" applyFont="1" applyBorder="1" applyAlignment="1">
      <alignment horizontal="center"/>
    </xf>
    <xf numFmtId="0" fontId="0" fillId="4" borderId="60" xfId="0" applyFont="1" applyFill="1" applyBorder="1" applyAlignment="1">
      <alignment horizontal="center"/>
    </xf>
    <xf numFmtId="0" fontId="0" fillId="2" borderId="72" xfId="0" applyFont="1" applyFill="1" applyBorder="1" applyAlignment="1" applyProtection="1">
      <alignment horizontal="center"/>
      <protection locked="0"/>
    </xf>
    <xf numFmtId="0" fontId="0" fillId="4" borderId="61" xfId="0" applyFont="1" applyFill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8" fillId="0" borderId="47" xfId="0" applyFont="1" applyBorder="1" applyAlignment="1">
      <alignment/>
    </xf>
    <xf numFmtId="0" fontId="8" fillId="0" borderId="53" xfId="0" applyFont="1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2" borderId="62" xfId="0" applyFont="1" applyFill="1" applyBorder="1" applyAlignment="1" applyProtection="1">
      <alignment horizontal="center"/>
      <protection locked="0"/>
    </xf>
    <xf numFmtId="0" fontId="0" fillId="2" borderId="63" xfId="0" applyFont="1" applyFill="1" applyBorder="1" applyAlignment="1" applyProtection="1">
      <alignment horizontal="center"/>
      <protection locked="0"/>
    </xf>
    <xf numFmtId="0" fontId="3" fillId="0" borderId="73" xfId="18" applyFont="1" applyFill="1" applyBorder="1" applyAlignment="1">
      <alignment horizontal="left" wrapText="1"/>
      <protection/>
    </xf>
    <xf numFmtId="0" fontId="3" fillId="0" borderId="74" xfId="18" applyFont="1" applyFill="1" applyBorder="1" applyAlignment="1">
      <alignment horizontal="right" wrapText="1"/>
      <protection/>
    </xf>
    <xf numFmtId="0" fontId="0" fillId="0" borderId="42" xfId="0" applyBorder="1" applyAlignment="1">
      <alignment/>
    </xf>
    <xf numFmtId="0" fontId="0" fillId="0" borderId="48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75" xfId="0" applyFont="1" applyBorder="1" applyAlignment="1">
      <alignment horizontal="center"/>
    </xf>
    <xf numFmtId="0" fontId="0" fillId="2" borderId="60" xfId="0" applyFont="1" applyFill="1" applyBorder="1" applyAlignment="1" applyProtection="1">
      <alignment horizontal="center"/>
      <protection locked="0"/>
    </xf>
    <xf numFmtId="0" fontId="0" fillId="4" borderId="76" xfId="0" applyFont="1" applyFill="1" applyBorder="1" applyAlignment="1">
      <alignment horizontal="center"/>
    </xf>
    <xf numFmtId="0" fontId="0" fillId="2" borderId="66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3" fillId="0" borderId="77" xfId="18" applyFont="1" applyFill="1" applyBorder="1" applyAlignment="1">
      <alignment horizontal="right" wrapText="1"/>
      <protection/>
    </xf>
    <xf numFmtId="0" fontId="3" fillId="0" borderId="78" xfId="18" applyFont="1" applyFill="1" applyBorder="1" applyAlignment="1">
      <alignment horizontal="right" wrapText="1"/>
      <protection/>
    </xf>
    <xf numFmtId="0" fontId="0" fillId="0" borderId="47" xfId="0" applyBorder="1" applyAlignment="1">
      <alignment/>
    </xf>
    <xf numFmtId="0" fontId="0" fillId="0" borderId="43" xfId="0" applyFont="1" applyBorder="1" applyAlignment="1">
      <alignment horizontal="center"/>
    </xf>
    <xf numFmtId="0" fontId="18" fillId="5" borderId="37" xfId="0" applyFont="1" applyFill="1" applyBorder="1" applyAlignment="1">
      <alignment horizontal="left"/>
    </xf>
    <xf numFmtId="0" fontId="0" fillId="2" borderId="79" xfId="0" applyFont="1" applyFill="1" applyBorder="1" applyAlignment="1" applyProtection="1">
      <alignment horizontal="center"/>
      <protection locked="0"/>
    </xf>
    <xf numFmtId="0" fontId="0" fillId="0" borderId="68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9" fillId="0" borderId="0" xfId="0" applyFont="1" applyAlignment="1" applyProtection="1">
      <alignment/>
      <protection hidden="1"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right"/>
    </xf>
    <xf numFmtId="0" fontId="27" fillId="0" borderId="0" xfId="0" applyFont="1" applyAlignment="1">
      <alignment vertical="top"/>
    </xf>
    <xf numFmtId="0" fontId="2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42" xfId="0" applyFont="1" applyBorder="1" applyAlignment="1">
      <alignment horizontal="center"/>
    </xf>
    <xf numFmtId="0" fontId="0" fillId="2" borderId="80" xfId="0" applyFont="1" applyFill="1" applyBorder="1" applyAlignment="1" applyProtection="1">
      <alignment horizontal="center"/>
      <protection locked="0"/>
    </xf>
    <xf numFmtId="176" fontId="0" fillId="0" borderId="68" xfId="0" applyNumberFormat="1" applyFont="1" applyFill="1" applyBorder="1" applyAlignment="1" applyProtection="1">
      <alignment horizontal="center"/>
      <protection hidden="1"/>
    </xf>
    <xf numFmtId="176" fontId="0" fillId="0" borderId="70" xfId="0" applyNumberFormat="1" applyFont="1" applyFill="1" applyBorder="1" applyAlignment="1" applyProtection="1">
      <alignment horizontal="center"/>
      <protection hidden="1"/>
    </xf>
    <xf numFmtId="0" fontId="0" fillId="5" borderId="37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0" fontId="3" fillId="3" borderId="18" xfId="0" applyFont="1" applyFill="1" applyBorder="1" applyAlignment="1">
      <alignment/>
    </xf>
    <xf numFmtId="2" fontId="3" fillId="3" borderId="18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8" fillId="0" borderId="50" xfId="0" applyFont="1" applyBorder="1" applyAlignment="1">
      <alignment/>
    </xf>
    <xf numFmtId="0" fontId="8" fillId="0" borderId="81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5" xfId="0" applyFont="1" applyFill="1" applyBorder="1" applyAlignment="1">
      <alignment/>
    </xf>
    <xf numFmtId="0" fontId="20" fillId="0" borderId="6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15" fillId="0" borderId="0" xfId="0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 hidden="1"/>
    </xf>
    <xf numFmtId="0" fontId="5" fillId="2" borderId="0" xfId="0" applyFont="1" applyFill="1" applyAlignment="1">
      <alignment/>
    </xf>
    <xf numFmtId="181" fontId="9" fillId="0" borderId="0" xfId="0" applyNumberFormat="1" applyFont="1" applyAlignment="1" applyProtection="1">
      <alignment/>
      <protection hidden="1"/>
    </xf>
    <xf numFmtId="181" fontId="5" fillId="0" borderId="0" xfId="0" applyNumberFormat="1" applyFont="1" applyAlignment="1">
      <alignment horizontal="left"/>
    </xf>
    <xf numFmtId="174" fontId="24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9" fillId="2" borderId="44" xfId="0" applyFont="1" applyFill="1" applyBorder="1" applyAlignment="1" applyProtection="1">
      <alignment horizontal="center"/>
      <protection locked="0"/>
    </xf>
    <xf numFmtId="0" fontId="9" fillId="2" borderId="37" xfId="0" applyFont="1" applyFill="1" applyBorder="1" applyAlignment="1" applyProtection="1">
      <alignment horizontal="center"/>
      <protection locked="0"/>
    </xf>
    <xf numFmtId="0" fontId="0" fillId="0" borderId="82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2" borderId="83" xfId="0" applyFont="1" applyFill="1" applyBorder="1" applyAlignment="1" applyProtection="1">
      <alignment horizontal="center"/>
      <protection locked="0"/>
    </xf>
    <xf numFmtId="0" fontId="0" fillId="0" borderId="84" xfId="0" applyBorder="1" applyAlignment="1">
      <alignment/>
    </xf>
    <xf numFmtId="0" fontId="0" fillId="2" borderId="44" xfId="0" applyFont="1" applyFill="1" applyBorder="1" applyAlignment="1" applyProtection="1">
      <alignment horizontal="left"/>
      <protection locked="0"/>
    </xf>
    <xf numFmtId="0" fontId="0" fillId="2" borderId="37" xfId="0" applyFont="1" applyFill="1" applyBorder="1" applyAlignment="1" applyProtection="1">
      <alignment horizontal="left"/>
      <protection locked="0"/>
    </xf>
    <xf numFmtId="0" fontId="0" fillId="2" borderId="46" xfId="0" applyFont="1" applyFill="1" applyBorder="1" applyAlignment="1" applyProtection="1">
      <alignment horizontal="left"/>
      <protection locked="0"/>
    </xf>
    <xf numFmtId="0" fontId="9" fillId="5" borderId="44" xfId="0" applyFont="1" applyFill="1" applyBorder="1" applyAlignment="1" applyProtection="1">
      <alignment horizontal="left"/>
      <protection hidden="1"/>
    </xf>
    <xf numFmtId="0" fontId="9" fillId="5" borderId="37" xfId="0" applyFont="1" applyFill="1" applyBorder="1" applyAlignment="1" applyProtection="1">
      <alignment horizontal="left"/>
      <protection hidden="1"/>
    </xf>
    <xf numFmtId="0" fontId="9" fillId="5" borderId="46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9" fillId="2" borderId="46" xfId="0" applyFont="1" applyFill="1" applyBorder="1" applyAlignment="1" applyProtection="1">
      <alignment horizontal="center"/>
      <protection locked="0"/>
    </xf>
    <xf numFmtId="0" fontId="0" fillId="0" borderId="4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9" fillId="0" borderId="0" xfId="0" applyFont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2" fillId="5" borderId="85" xfId="0" applyFont="1" applyFill="1" applyBorder="1" applyAlignment="1" applyProtection="1">
      <alignment horizontal="center" vertical="center"/>
      <protection hidden="1"/>
    </xf>
    <xf numFmtId="0" fontId="32" fillId="5" borderId="86" xfId="0" applyFont="1" applyFill="1" applyBorder="1" applyAlignment="1" applyProtection="1">
      <alignment horizontal="center" vertical="center"/>
      <protection hidden="1"/>
    </xf>
    <xf numFmtId="0" fontId="32" fillId="5" borderId="87" xfId="0" applyFont="1" applyFill="1" applyBorder="1" applyAlignment="1" applyProtection="1">
      <alignment horizontal="center" vertical="center"/>
      <protection hidden="1"/>
    </xf>
    <xf numFmtId="0" fontId="34" fillId="5" borderId="88" xfId="0" applyFont="1" applyFill="1" applyBorder="1" applyAlignment="1" applyProtection="1">
      <alignment horizontal="center" vertical="center"/>
      <protection hidden="1"/>
    </xf>
    <xf numFmtId="0" fontId="22" fillId="5" borderId="89" xfId="0" applyFont="1" applyFill="1" applyBorder="1" applyAlignment="1" applyProtection="1">
      <alignment horizontal="center" vertical="center"/>
      <protection hidden="1"/>
    </xf>
    <xf numFmtId="0" fontId="22" fillId="5" borderId="90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/>
      <protection hidden="1"/>
    </xf>
    <xf numFmtId="11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</cellXfs>
  <cellStyles count="9">
    <cellStyle name="Normal" xfId="0"/>
    <cellStyle name="Comma" xfId="15"/>
    <cellStyle name="Migliaia (0)_Foglio2" xfId="16"/>
    <cellStyle name="Comma [0]" xfId="17"/>
    <cellStyle name="Normale_Foglio2" xfId="18"/>
    <cellStyle name="Percent" xfId="19"/>
    <cellStyle name="Currency" xfId="20"/>
    <cellStyle name="Valuta (0)_Foglio2" xfId="21"/>
    <cellStyle name="Currency [0]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83"/>
  <sheetViews>
    <sheetView tabSelected="1" workbookViewId="0" topLeftCell="A1">
      <selection activeCell="E63" sqref="E63"/>
    </sheetView>
  </sheetViews>
  <sheetFormatPr defaultColWidth="9.140625" defaultRowHeight="12.75"/>
  <cols>
    <col min="1" max="1" width="8.421875" style="3" customWidth="1"/>
    <col min="2" max="2" width="15.421875" style="3" customWidth="1"/>
    <col min="3" max="3" width="12.28125" style="4" customWidth="1"/>
    <col min="4" max="4" width="13.28125" style="3" customWidth="1"/>
    <col min="5" max="5" width="12.7109375" style="5" customWidth="1"/>
    <col min="6" max="6" width="13.140625" style="3" customWidth="1"/>
    <col min="7" max="7" width="6.00390625" style="3" customWidth="1"/>
    <col min="8" max="8" width="2.8515625" style="3" customWidth="1"/>
    <col min="9" max="9" width="7.7109375" style="3" customWidth="1"/>
    <col min="10" max="10" width="13.28125" style="3" customWidth="1"/>
    <col min="11" max="11" width="10.7109375" style="3" customWidth="1"/>
    <col min="12" max="12" width="11.7109375" style="3" customWidth="1"/>
    <col min="13" max="13" width="11.57421875" style="133" customWidth="1"/>
    <col min="14" max="14" width="17.28125" style="8" bestFit="1" customWidth="1"/>
    <col min="15" max="15" width="12.57421875" style="8" bestFit="1" customWidth="1"/>
    <col min="16" max="16" width="10.28125" style="8" customWidth="1"/>
    <col min="17" max="17" width="9.00390625" style="8" customWidth="1"/>
    <col min="18" max="18" width="8.7109375" style="3" customWidth="1"/>
    <col min="19" max="19" width="9.00390625" style="3" customWidth="1"/>
    <col min="20" max="20" width="8.421875" style="3" customWidth="1"/>
    <col min="21" max="21" width="2.421875" style="3" customWidth="1"/>
    <col min="22" max="22" width="10.7109375" style="3" customWidth="1"/>
    <col min="23" max="26" width="8.8515625" style="3" customWidth="1"/>
    <col min="27" max="27" width="8.8515625" style="3" hidden="1" customWidth="1"/>
    <col min="28" max="28" width="26.57421875" style="3" hidden="1" customWidth="1"/>
    <col min="29" max="30" width="8.8515625" style="3" hidden="1" customWidth="1"/>
    <col min="31" max="35" width="9.00390625" style="3" hidden="1" customWidth="1"/>
    <col min="36" max="36" width="9.7109375" style="3" hidden="1" customWidth="1"/>
    <col min="37" max="37" width="13.00390625" style="3" hidden="1" customWidth="1"/>
    <col min="38" max="39" width="11.28125" style="3" hidden="1" customWidth="1"/>
    <col min="40" max="40" width="9.00390625" style="3" hidden="1" customWidth="1"/>
    <col min="41" max="41" width="11.28125" style="3" hidden="1" customWidth="1"/>
    <col min="42" max="42" width="9.00390625" style="3" hidden="1" customWidth="1"/>
    <col min="43" max="43" width="9.421875" style="3" hidden="1" customWidth="1"/>
    <col min="44" max="45" width="9.00390625" style="3" hidden="1" customWidth="1"/>
    <col min="46" max="46" width="14.140625" style="3" hidden="1" customWidth="1"/>
    <col min="47" max="52" width="8.8515625" style="3" hidden="1" customWidth="1"/>
    <col min="53" max="16384" width="8.8515625" style="3" customWidth="1"/>
  </cols>
  <sheetData>
    <row r="1" spans="1:46" ht="15.75" thickBot="1">
      <c r="A1" s="99"/>
      <c r="B1" s="99"/>
      <c r="C1" s="100"/>
      <c r="D1" s="99"/>
      <c r="E1" s="101"/>
      <c r="F1" s="99"/>
      <c r="G1" s="99"/>
      <c r="H1" s="116"/>
      <c r="J1" s="86" t="s">
        <v>364</v>
      </c>
      <c r="M1" s="4"/>
      <c r="N1" s="66" t="s">
        <v>256</v>
      </c>
      <c r="O1" s="9" t="s">
        <v>157</v>
      </c>
      <c r="P1" s="230" t="s">
        <v>144</v>
      </c>
      <c r="Q1" s="241" t="s">
        <v>143</v>
      </c>
      <c r="R1" s="238" t="s">
        <v>152</v>
      </c>
      <c r="S1" s="8"/>
      <c r="T1" s="256" t="s">
        <v>259</v>
      </c>
      <c r="U1" s="119"/>
      <c r="V1" s="250"/>
      <c r="AB1" s="28" t="s">
        <v>8</v>
      </c>
      <c r="AC1" s="29" t="s">
        <v>9</v>
      </c>
      <c r="AD1" s="29" t="s">
        <v>10</v>
      </c>
      <c r="AE1" s="29" t="s">
        <v>11</v>
      </c>
      <c r="AF1" s="29" t="s">
        <v>12</v>
      </c>
      <c r="AG1" s="29" t="s">
        <v>13</v>
      </c>
      <c r="AH1" s="29" t="s">
        <v>14</v>
      </c>
      <c r="AI1" s="32" t="s">
        <v>15</v>
      </c>
      <c r="AJ1" s="46" t="s">
        <v>16</v>
      </c>
      <c r="AK1" s="47" t="s">
        <v>17</v>
      </c>
      <c r="AL1" s="48" t="s">
        <v>18</v>
      </c>
      <c r="AM1" s="39" t="s">
        <v>19</v>
      </c>
      <c r="AN1" s="29" t="s">
        <v>20</v>
      </c>
      <c r="AO1" s="29" t="s">
        <v>21</v>
      </c>
      <c r="AP1" s="29" t="s">
        <v>22</v>
      </c>
      <c r="AQ1" s="29" t="s">
        <v>23</v>
      </c>
      <c r="AR1" s="29" t="s">
        <v>24</v>
      </c>
      <c r="AS1" s="29" t="s">
        <v>25</v>
      </c>
      <c r="AT1" s="30" t="s">
        <v>26</v>
      </c>
    </row>
    <row r="2" spans="1:46" ht="16.5" thickBot="1">
      <c r="A2" s="99"/>
      <c r="B2" s="291" t="s">
        <v>353</v>
      </c>
      <c r="C2" s="291"/>
      <c r="D2" s="291"/>
      <c r="E2" s="291"/>
      <c r="F2" s="291"/>
      <c r="G2" s="99"/>
      <c r="H2" s="116"/>
      <c r="J2" s="126" t="s">
        <v>193</v>
      </c>
      <c r="K2" s="127"/>
      <c r="M2" s="74">
        <f>IF($J$13=144,"===&gt;&gt;","")</f>
      </c>
      <c r="N2" s="64" t="s">
        <v>146</v>
      </c>
      <c r="O2" s="89">
        <v>200</v>
      </c>
      <c r="P2" s="240">
        <v>400</v>
      </c>
      <c r="Q2" s="242" t="s">
        <v>258</v>
      </c>
      <c r="R2" s="239" t="s">
        <v>200</v>
      </c>
      <c r="S2" s="255"/>
      <c r="T2" s="218" t="s">
        <v>260</v>
      </c>
      <c r="U2" s="119"/>
      <c r="AB2" s="18" t="s">
        <v>27</v>
      </c>
      <c r="AC2" s="19">
        <v>16.7</v>
      </c>
      <c r="AD2" s="19">
        <v>96</v>
      </c>
      <c r="AE2" s="19">
        <v>100</v>
      </c>
      <c r="AF2" s="19">
        <v>5</v>
      </c>
      <c r="AG2" s="19">
        <v>8</v>
      </c>
      <c r="AH2" s="19">
        <v>12</v>
      </c>
      <c r="AI2" s="33">
        <v>0</v>
      </c>
      <c r="AJ2" s="49">
        <v>21.24</v>
      </c>
      <c r="AK2" s="19">
        <v>349.2</v>
      </c>
      <c r="AL2" s="50">
        <v>72.76</v>
      </c>
      <c r="AM2" s="40">
        <v>83.01</v>
      </c>
      <c r="AN2" s="19">
        <v>4.06</v>
      </c>
      <c r="AO2" s="19">
        <v>133.8</v>
      </c>
      <c r="AP2" s="19">
        <v>26.76</v>
      </c>
      <c r="AQ2" s="19">
        <v>41.14</v>
      </c>
      <c r="AR2" s="19">
        <v>2.51</v>
      </c>
      <c r="AS2" s="19">
        <v>5.24</v>
      </c>
      <c r="AT2" s="20">
        <v>2580</v>
      </c>
    </row>
    <row r="3" spans="1:46" ht="12" customHeight="1">
      <c r="A3" s="99"/>
      <c r="B3" s="296" t="s">
        <v>327</v>
      </c>
      <c r="C3" s="296"/>
      <c r="D3" s="296"/>
      <c r="E3" s="296"/>
      <c r="F3" s="296"/>
      <c r="G3" s="99"/>
      <c r="H3" s="116"/>
      <c r="M3" s="74">
        <f>IF($J$13=145,"===&gt;&gt;","")</f>
      </c>
      <c r="N3" s="65" t="s">
        <v>147</v>
      </c>
      <c r="O3" s="91">
        <v>190</v>
      </c>
      <c r="P3" s="90">
        <v>280</v>
      </c>
      <c r="Q3" s="92">
        <v>8</v>
      </c>
      <c r="R3" s="63"/>
      <c r="S3" s="8"/>
      <c r="U3" s="119"/>
      <c r="AB3" s="10" t="s">
        <v>29</v>
      </c>
      <c r="AC3" s="1">
        <v>19.9</v>
      </c>
      <c r="AD3" s="1">
        <v>114</v>
      </c>
      <c r="AE3" s="1">
        <v>120</v>
      </c>
      <c r="AF3" s="1">
        <v>5</v>
      </c>
      <c r="AG3" s="1">
        <v>8</v>
      </c>
      <c r="AH3" s="1">
        <v>12</v>
      </c>
      <c r="AI3" s="34">
        <v>0</v>
      </c>
      <c r="AJ3" s="51">
        <v>25.34</v>
      </c>
      <c r="AK3" s="1">
        <v>606.2</v>
      </c>
      <c r="AL3" s="52">
        <v>106.3</v>
      </c>
      <c r="AM3" s="41">
        <v>119.5</v>
      </c>
      <c r="AN3" s="1">
        <v>4.89</v>
      </c>
      <c r="AO3" s="1">
        <v>230.9</v>
      </c>
      <c r="AP3" s="1">
        <v>38.48</v>
      </c>
      <c r="AQ3" s="1">
        <v>58.85</v>
      </c>
      <c r="AR3" s="1">
        <v>3.02</v>
      </c>
      <c r="AS3" s="1">
        <v>5.99</v>
      </c>
      <c r="AT3" s="11">
        <v>6470</v>
      </c>
    </row>
    <row r="4" spans="1:46" ht="12" customHeight="1" thickBot="1">
      <c r="A4" s="99"/>
      <c r="B4" s="99"/>
      <c r="C4" s="100"/>
      <c r="D4" s="99"/>
      <c r="E4" s="101"/>
      <c r="F4" s="99"/>
      <c r="G4" s="99"/>
      <c r="H4" s="116"/>
      <c r="J4" s="86" t="s">
        <v>257</v>
      </c>
      <c r="M4" s="74">
        <f>IF($J$13=146,"===&gt;&gt;","")</f>
      </c>
      <c r="N4" s="65" t="s">
        <v>148</v>
      </c>
      <c r="O4" s="91">
        <v>100</v>
      </c>
      <c r="P4" s="31"/>
      <c r="Q4" s="90">
        <v>3</v>
      </c>
      <c r="R4" s="215"/>
      <c r="S4" s="8"/>
      <c r="U4" s="119"/>
      <c r="AB4" s="10" t="s">
        <v>30</v>
      </c>
      <c r="AC4" s="1">
        <v>24.7</v>
      </c>
      <c r="AD4" s="1">
        <v>133</v>
      </c>
      <c r="AE4" s="1">
        <v>140</v>
      </c>
      <c r="AF4" s="1">
        <v>5.5</v>
      </c>
      <c r="AG4" s="1">
        <v>8.5</v>
      </c>
      <c r="AH4" s="1">
        <v>12</v>
      </c>
      <c r="AI4" s="34">
        <v>0</v>
      </c>
      <c r="AJ4" s="51">
        <v>31.42</v>
      </c>
      <c r="AK4" s="1">
        <v>1033</v>
      </c>
      <c r="AL4" s="52">
        <v>155.4</v>
      </c>
      <c r="AM4" s="41">
        <v>173.5</v>
      </c>
      <c r="AN4" s="1">
        <v>5.73</v>
      </c>
      <c r="AO4" s="1">
        <v>389.3</v>
      </c>
      <c r="AP4" s="1">
        <v>55.62</v>
      </c>
      <c r="AQ4" s="1">
        <v>84.85</v>
      </c>
      <c r="AR4" s="1">
        <v>3.52</v>
      </c>
      <c r="AS4" s="1">
        <v>8.13</v>
      </c>
      <c r="AT4" s="11">
        <v>15060</v>
      </c>
    </row>
    <row r="5" spans="1:46" ht="16.5" thickBot="1">
      <c r="A5" s="99"/>
      <c r="B5" s="243" t="s">
        <v>187</v>
      </c>
      <c r="C5" s="295" t="str">
        <f>J5</f>
        <v>ARCARECCI OMEGA COPERTURA</v>
      </c>
      <c r="D5" s="295"/>
      <c r="E5" s="295"/>
      <c r="F5" s="295"/>
      <c r="G5" s="99"/>
      <c r="H5" s="116"/>
      <c r="J5" s="279" t="s">
        <v>362</v>
      </c>
      <c r="K5" s="280"/>
      <c r="L5" s="297"/>
      <c r="M5" s="74">
        <f>IF($J$13=147,"===&gt;&gt;","")</f>
      </c>
      <c r="N5" s="65" t="s">
        <v>154</v>
      </c>
      <c r="O5" s="91">
        <v>700</v>
      </c>
      <c r="P5" s="90">
        <v>700</v>
      </c>
      <c r="Q5" s="90">
        <v>50</v>
      </c>
      <c r="R5" s="233">
        <v>50</v>
      </c>
      <c r="S5" s="251" t="s">
        <v>246</v>
      </c>
      <c r="T5" s="253">
        <f>AI148</f>
        <v>506.48148148148147</v>
      </c>
      <c r="U5" s="119"/>
      <c r="AB5" s="10" t="s">
        <v>31</v>
      </c>
      <c r="AC5" s="1">
        <v>30.4</v>
      </c>
      <c r="AD5" s="1">
        <v>152</v>
      </c>
      <c r="AE5" s="1">
        <v>160</v>
      </c>
      <c r="AF5" s="1">
        <v>6</v>
      </c>
      <c r="AG5" s="1">
        <v>9</v>
      </c>
      <c r="AH5" s="1">
        <v>15</v>
      </c>
      <c r="AI5" s="34">
        <v>0</v>
      </c>
      <c r="AJ5" s="51">
        <v>38.77</v>
      </c>
      <c r="AK5" s="1">
        <v>1673</v>
      </c>
      <c r="AL5" s="52">
        <v>220.1</v>
      </c>
      <c r="AM5" s="41">
        <v>245.1</v>
      </c>
      <c r="AN5" s="1">
        <v>6.57</v>
      </c>
      <c r="AO5" s="1">
        <v>615.6</v>
      </c>
      <c r="AP5" s="1">
        <v>76.95</v>
      </c>
      <c r="AQ5" s="1">
        <v>117.6</v>
      </c>
      <c r="AR5" s="1">
        <v>3.98</v>
      </c>
      <c r="AS5" s="1">
        <v>12.19</v>
      </c>
      <c r="AT5" s="11">
        <v>31410</v>
      </c>
    </row>
    <row r="6" spans="1:46" ht="16.5" thickBot="1">
      <c r="A6" s="99"/>
      <c r="B6" s="103"/>
      <c r="C6" s="106"/>
      <c r="D6" s="103"/>
      <c r="E6" s="107"/>
      <c r="F6" s="103"/>
      <c r="G6" s="99"/>
      <c r="H6" s="116"/>
      <c r="J6" s="266"/>
      <c r="M6" s="74">
        <f>IF($J$13=148,"===&gt;&gt;","")</f>
      </c>
      <c r="N6" s="212" t="s">
        <v>245</v>
      </c>
      <c r="O6" s="214">
        <v>50</v>
      </c>
      <c r="P6" s="231">
        <v>100</v>
      </c>
      <c r="Q6" s="231">
        <v>2.5</v>
      </c>
      <c r="R6" s="90">
        <v>2.5</v>
      </c>
      <c r="S6" s="252">
        <v>60</v>
      </c>
      <c r="T6" s="254">
        <f>AI149</f>
        <v>47.62195121951219</v>
      </c>
      <c r="U6" s="119"/>
      <c r="AB6" s="10" t="s">
        <v>32</v>
      </c>
      <c r="AC6" s="1">
        <v>36</v>
      </c>
      <c r="AD6" s="1">
        <v>171</v>
      </c>
      <c r="AE6" s="1">
        <v>180</v>
      </c>
      <c r="AF6" s="1">
        <v>6</v>
      </c>
      <c r="AG6" s="1">
        <v>9.5</v>
      </c>
      <c r="AH6" s="1">
        <v>15</v>
      </c>
      <c r="AI6" s="34">
        <v>0</v>
      </c>
      <c r="AJ6" s="51">
        <v>45.25</v>
      </c>
      <c r="AK6" s="1">
        <v>2510</v>
      </c>
      <c r="AL6" s="52">
        <v>293.6</v>
      </c>
      <c r="AM6" s="41">
        <v>324.9</v>
      </c>
      <c r="AN6" s="1">
        <v>7.45</v>
      </c>
      <c r="AO6" s="1">
        <v>924.6</v>
      </c>
      <c r="AP6" s="1">
        <v>102.7</v>
      </c>
      <c r="AQ6" s="1">
        <v>156.5</v>
      </c>
      <c r="AR6" s="1">
        <v>4.52</v>
      </c>
      <c r="AS6" s="1">
        <v>14.8</v>
      </c>
      <c r="AT6" s="11">
        <v>60210</v>
      </c>
    </row>
    <row r="7" spans="1:46" ht="16.5" thickBot="1">
      <c r="A7" s="99"/>
      <c r="B7" s="295" t="s">
        <v>170</v>
      </c>
      <c r="C7" s="295"/>
      <c r="D7" s="295" t="str">
        <f>INDEX(N11:P19,J9,1)</f>
        <v>Acciaio Fe360</v>
      </c>
      <c r="E7" s="295"/>
      <c r="F7" s="103"/>
      <c r="G7" s="99"/>
      <c r="H7" s="116"/>
      <c r="J7" s="86" t="s">
        <v>155</v>
      </c>
      <c r="M7" s="74">
        <f>IF($J$13=149,"===&gt;&gt;","")</f>
      </c>
      <c r="N7" s="212" t="s">
        <v>149</v>
      </c>
      <c r="O7" s="214">
        <v>100</v>
      </c>
      <c r="P7" s="213"/>
      <c r="Q7" s="213"/>
      <c r="R7" s="232"/>
      <c r="S7" s="8"/>
      <c r="U7" s="119"/>
      <c r="AB7" s="10" t="s">
        <v>33</v>
      </c>
      <c r="AC7" s="1">
        <v>42.3</v>
      </c>
      <c r="AD7" s="1">
        <v>190</v>
      </c>
      <c r="AE7" s="1">
        <v>200</v>
      </c>
      <c r="AF7" s="1">
        <v>6.5</v>
      </c>
      <c r="AG7" s="1">
        <v>10</v>
      </c>
      <c r="AH7" s="1">
        <v>18</v>
      </c>
      <c r="AI7" s="34">
        <v>0</v>
      </c>
      <c r="AJ7" s="51">
        <v>53.83</v>
      </c>
      <c r="AK7" s="1">
        <v>3692</v>
      </c>
      <c r="AL7" s="52">
        <v>388.6</v>
      </c>
      <c r="AM7" s="41">
        <v>429.5</v>
      </c>
      <c r="AN7" s="1">
        <v>8.28</v>
      </c>
      <c r="AO7" s="1">
        <v>1336</v>
      </c>
      <c r="AP7" s="1">
        <v>133.6</v>
      </c>
      <c r="AQ7" s="1">
        <v>203.8</v>
      </c>
      <c r="AR7" s="1">
        <v>4.98</v>
      </c>
      <c r="AS7" s="1">
        <v>20.98</v>
      </c>
      <c r="AT7" s="11">
        <v>108000</v>
      </c>
    </row>
    <row r="8" spans="1:46" ht="15.75">
      <c r="A8" s="99"/>
      <c r="B8" s="292" t="s">
        <v>139</v>
      </c>
      <c r="C8" s="292"/>
      <c r="D8" s="108">
        <f>IF(AND($J$9&gt;3,$J$9&lt;8),M12,M12)</f>
        <v>2100000</v>
      </c>
      <c r="E8" s="107" t="s">
        <v>179</v>
      </c>
      <c r="F8" s="103"/>
      <c r="G8" s="99"/>
      <c r="H8" s="116"/>
      <c r="J8" s="67"/>
      <c r="K8" s="68"/>
      <c r="M8" s="74"/>
      <c r="N8" s="281" t="s">
        <v>243</v>
      </c>
      <c r="O8" s="282"/>
      <c r="P8" s="219" t="s">
        <v>207</v>
      </c>
      <c r="Q8" s="219" t="s">
        <v>338</v>
      </c>
      <c r="R8" s="220" t="s">
        <v>339</v>
      </c>
      <c r="S8" s="219" t="s">
        <v>340</v>
      </c>
      <c r="T8" s="220" t="s">
        <v>341</v>
      </c>
      <c r="U8" s="128"/>
      <c r="AB8" s="10" t="s">
        <v>34</v>
      </c>
      <c r="AC8" s="1">
        <v>50.5</v>
      </c>
      <c r="AD8" s="1">
        <v>210</v>
      </c>
      <c r="AE8" s="1">
        <v>220</v>
      </c>
      <c r="AF8" s="1">
        <v>7</v>
      </c>
      <c r="AG8" s="1">
        <v>11</v>
      </c>
      <c r="AH8" s="1">
        <v>18</v>
      </c>
      <c r="AI8" s="34">
        <v>0</v>
      </c>
      <c r="AJ8" s="51">
        <v>64.34</v>
      </c>
      <c r="AK8" s="1">
        <v>5410</v>
      </c>
      <c r="AL8" s="52">
        <v>515.2</v>
      </c>
      <c r="AM8" s="41">
        <v>568.5</v>
      </c>
      <c r="AN8" s="1">
        <v>9.17</v>
      </c>
      <c r="AO8" s="1">
        <v>1955</v>
      </c>
      <c r="AP8" s="1">
        <v>177.7</v>
      </c>
      <c r="AQ8" s="1">
        <v>270.6</v>
      </c>
      <c r="AR8" s="1">
        <v>5.51</v>
      </c>
      <c r="AS8" s="1">
        <v>28.46</v>
      </c>
      <c r="AT8" s="11">
        <v>193300</v>
      </c>
    </row>
    <row r="9" spans="1:46" ht="16.5" thickBot="1">
      <c r="A9" s="99"/>
      <c r="B9" s="292" t="s">
        <v>319</v>
      </c>
      <c r="C9" s="292"/>
      <c r="D9" s="108">
        <f>INDEX(N11:P19,J9,3)</f>
        <v>2350</v>
      </c>
      <c r="E9" s="107" t="s">
        <v>179</v>
      </c>
      <c r="F9" s="103"/>
      <c r="G9" s="99"/>
      <c r="H9" s="116"/>
      <c r="J9" s="96">
        <v>1</v>
      </c>
      <c r="K9" s="7"/>
      <c r="M9" s="74">
        <f>IF($J$13=150,"===&gt;&gt;","")</f>
      </c>
      <c r="N9" s="283" t="s">
        <v>244</v>
      </c>
      <c r="O9" s="284"/>
      <c r="P9" s="221">
        <v>10</v>
      </c>
      <c r="Q9" s="221">
        <v>100</v>
      </c>
      <c r="R9" s="222">
        <v>50</v>
      </c>
      <c r="S9" s="221">
        <v>80</v>
      </c>
      <c r="T9" s="222">
        <v>40</v>
      </c>
      <c r="U9" s="128"/>
      <c r="AB9" s="10" t="s">
        <v>35</v>
      </c>
      <c r="AC9" s="1">
        <v>60.3</v>
      </c>
      <c r="AD9" s="1">
        <v>230</v>
      </c>
      <c r="AE9" s="1">
        <v>240</v>
      </c>
      <c r="AF9" s="1">
        <v>7.5</v>
      </c>
      <c r="AG9" s="1">
        <v>12</v>
      </c>
      <c r="AH9" s="1">
        <v>21</v>
      </c>
      <c r="AI9" s="34">
        <v>0</v>
      </c>
      <c r="AJ9" s="51">
        <v>76.84</v>
      </c>
      <c r="AK9" s="1">
        <v>7763</v>
      </c>
      <c r="AL9" s="52">
        <v>675.1</v>
      </c>
      <c r="AM9" s="41">
        <v>744.6</v>
      </c>
      <c r="AN9" s="1">
        <v>10.05</v>
      </c>
      <c r="AO9" s="1">
        <v>2769</v>
      </c>
      <c r="AP9" s="1">
        <v>230.7</v>
      </c>
      <c r="AQ9" s="1">
        <v>351.7</v>
      </c>
      <c r="AR9" s="1">
        <v>6</v>
      </c>
      <c r="AS9" s="1">
        <v>41.55</v>
      </c>
      <c r="AT9" s="11">
        <v>328500</v>
      </c>
    </row>
    <row r="10" spans="1:46" ht="15.75" thickBot="1">
      <c r="A10" s="99"/>
      <c r="B10" s="292" t="s">
        <v>236</v>
      </c>
      <c r="C10" s="292"/>
      <c r="D10" s="103">
        <f>INDEX(N11:Q19,J9,4)</f>
        <v>7860</v>
      </c>
      <c r="E10" s="107" t="s">
        <v>237</v>
      </c>
      <c r="F10" s="103"/>
      <c r="G10" s="99"/>
      <c r="H10" s="116"/>
      <c r="J10" s="244">
        <f>IF($J$9=9,"Inserire i dati a lato","")</f>
      </c>
      <c r="N10" s="216" t="s">
        <v>170</v>
      </c>
      <c r="O10" s="217" t="s">
        <v>168</v>
      </c>
      <c r="P10" s="218" t="s">
        <v>320</v>
      </c>
      <c r="Q10" s="218" t="s">
        <v>234</v>
      </c>
      <c r="R10" s="217"/>
      <c r="S10" s="300" t="s">
        <v>347</v>
      </c>
      <c r="T10" s="301"/>
      <c r="U10" s="128"/>
      <c r="AB10" s="10" t="s">
        <v>36</v>
      </c>
      <c r="AC10" s="1">
        <v>68.2</v>
      </c>
      <c r="AD10" s="1">
        <v>250</v>
      </c>
      <c r="AE10" s="1">
        <v>260</v>
      </c>
      <c r="AF10" s="1">
        <v>7.5</v>
      </c>
      <c r="AG10" s="1">
        <v>12.5</v>
      </c>
      <c r="AH10" s="1">
        <v>24</v>
      </c>
      <c r="AI10" s="34">
        <v>0</v>
      </c>
      <c r="AJ10" s="51">
        <v>86.82</v>
      </c>
      <c r="AK10" s="1">
        <v>10450</v>
      </c>
      <c r="AL10" s="52">
        <v>836.4</v>
      </c>
      <c r="AM10" s="41">
        <v>919.8</v>
      </c>
      <c r="AN10" s="1">
        <v>10.97</v>
      </c>
      <c r="AO10" s="1">
        <v>3668</v>
      </c>
      <c r="AP10" s="1">
        <v>282.1</v>
      </c>
      <c r="AQ10" s="1">
        <v>430.2</v>
      </c>
      <c r="AR10" s="1">
        <v>6.5</v>
      </c>
      <c r="AS10" s="1">
        <v>52.37</v>
      </c>
      <c r="AT10" s="11">
        <v>516400</v>
      </c>
    </row>
    <row r="11" spans="1:46" ht="15.75" thickBot="1">
      <c r="A11" s="99"/>
      <c r="B11" s="243" t="s">
        <v>253</v>
      </c>
      <c r="C11" s="86">
        <f>L13</f>
        <v>1</v>
      </c>
      <c r="D11" s="109" t="str">
        <f>INDEX($AB$2:$AL$157,$J$13,1)</f>
        <v>OM120x80x40x3</v>
      </c>
      <c r="F11" s="103"/>
      <c r="G11" s="99"/>
      <c r="H11" s="116"/>
      <c r="J11" s="86" t="s">
        <v>156</v>
      </c>
      <c r="N11" s="72" t="s">
        <v>132</v>
      </c>
      <c r="O11" s="77">
        <v>2100000</v>
      </c>
      <c r="P11" s="78">
        <v>2350</v>
      </c>
      <c r="Q11" s="78">
        <v>7860</v>
      </c>
      <c r="R11" s="265"/>
      <c r="S11" s="261" t="s">
        <v>314</v>
      </c>
      <c r="T11" s="95">
        <v>1.3</v>
      </c>
      <c r="U11" s="128"/>
      <c r="AB11" s="10" t="s">
        <v>37</v>
      </c>
      <c r="AC11" s="1">
        <v>76.4</v>
      </c>
      <c r="AD11" s="1">
        <v>270</v>
      </c>
      <c r="AE11" s="1">
        <v>280</v>
      </c>
      <c r="AF11" s="1">
        <v>8</v>
      </c>
      <c r="AG11" s="1">
        <v>13</v>
      </c>
      <c r="AH11" s="1">
        <v>24</v>
      </c>
      <c r="AI11" s="34">
        <v>0</v>
      </c>
      <c r="AJ11" s="51">
        <v>97.26</v>
      </c>
      <c r="AK11" s="1">
        <v>13670</v>
      </c>
      <c r="AL11" s="52">
        <v>1013</v>
      </c>
      <c r="AM11" s="41">
        <v>1112</v>
      </c>
      <c r="AN11" s="1">
        <v>11.86</v>
      </c>
      <c r="AO11" s="1">
        <v>4763</v>
      </c>
      <c r="AP11" s="1">
        <v>340.2</v>
      </c>
      <c r="AQ11" s="1">
        <v>518.1</v>
      </c>
      <c r="AR11" s="1">
        <v>7</v>
      </c>
      <c r="AS11" s="1">
        <v>62.1</v>
      </c>
      <c r="AT11" s="11">
        <v>785400</v>
      </c>
    </row>
    <row r="12" spans="1:46" ht="16.5" thickBot="1">
      <c r="A12" s="99"/>
      <c r="B12" s="103"/>
      <c r="C12" s="106" t="s">
        <v>140</v>
      </c>
      <c r="D12" s="110">
        <f>M13*$C$11</f>
        <v>11.32</v>
      </c>
      <c r="E12" s="107" t="s">
        <v>183</v>
      </c>
      <c r="H12" s="116"/>
      <c r="J12" s="67"/>
      <c r="K12" s="68"/>
      <c r="L12" s="150" t="s">
        <v>204</v>
      </c>
      <c r="M12" s="211">
        <f>INDEX(N11:P19,J9,2)</f>
        <v>2100000</v>
      </c>
      <c r="N12" s="75" t="s">
        <v>133</v>
      </c>
      <c r="O12" s="77">
        <v>2100000</v>
      </c>
      <c r="P12" s="78">
        <v>2750</v>
      </c>
      <c r="Q12" s="78">
        <v>7860</v>
      </c>
      <c r="R12" s="265"/>
      <c r="S12" s="261" t="s">
        <v>315</v>
      </c>
      <c r="T12" s="95">
        <v>1.5</v>
      </c>
      <c r="U12" s="128"/>
      <c r="AB12" s="10" t="s">
        <v>38</v>
      </c>
      <c r="AC12" s="1">
        <v>88.3</v>
      </c>
      <c r="AD12" s="1">
        <v>290</v>
      </c>
      <c r="AE12" s="1">
        <v>300</v>
      </c>
      <c r="AF12" s="1">
        <v>8.5</v>
      </c>
      <c r="AG12" s="1">
        <v>14</v>
      </c>
      <c r="AH12" s="1">
        <v>27</v>
      </c>
      <c r="AI12" s="34">
        <v>0</v>
      </c>
      <c r="AJ12" s="51">
        <v>112.5</v>
      </c>
      <c r="AK12" s="1">
        <v>18260</v>
      </c>
      <c r="AL12" s="52">
        <v>1260</v>
      </c>
      <c r="AM12" s="41">
        <v>1383</v>
      </c>
      <c r="AN12" s="1">
        <v>12.74</v>
      </c>
      <c r="AO12" s="1">
        <v>6310</v>
      </c>
      <c r="AP12" s="1">
        <v>420.6</v>
      </c>
      <c r="AQ12" s="1">
        <v>641.2</v>
      </c>
      <c r="AR12" s="1">
        <v>7.49</v>
      </c>
      <c r="AS12" s="1">
        <v>85.17</v>
      </c>
      <c r="AT12" s="11">
        <v>1200000</v>
      </c>
    </row>
    <row r="13" spans="1:46" ht="15.75" thickBot="1">
      <c r="A13" s="99"/>
      <c r="B13" s="106" t="s">
        <v>329</v>
      </c>
      <c r="C13" s="110">
        <f>M14*$C$11</f>
        <v>227.46</v>
      </c>
      <c r="D13" s="106" t="s">
        <v>334</v>
      </c>
      <c r="E13" s="110">
        <f>M16*$C$11</f>
        <v>190.71</v>
      </c>
      <c r="F13" s="107" t="s">
        <v>184</v>
      </c>
      <c r="H13" s="116"/>
      <c r="J13" s="97">
        <v>129</v>
      </c>
      <c r="K13" s="7"/>
      <c r="L13" s="156">
        <v>1</v>
      </c>
      <c r="M13" s="195">
        <f>INDEX($AB$2:$AL$157,$J$13,9)</f>
        <v>11.32</v>
      </c>
      <c r="N13" s="75" t="s">
        <v>134</v>
      </c>
      <c r="O13" s="77">
        <v>2100000</v>
      </c>
      <c r="P13" s="78">
        <v>3550</v>
      </c>
      <c r="Q13" s="78">
        <v>7860</v>
      </c>
      <c r="R13" s="265"/>
      <c r="S13" s="261" t="s">
        <v>316</v>
      </c>
      <c r="T13" s="95">
        <v>1.5</v>
      </c>
      <c r="U13" s="128"/>
      <c r="AB13" s="10" t="s">
        <v>39</v>
      </c>
      <c r="AC13" s="1">
        <v>97.6</v>
      </c>
      <c r="AD13" s="1">
        <v>310</v>
      </c>
      <c r="AE13" s="1">
        <v>300</v>
      </c>
      <c r="AF13" s="1">
        <v>9</v>
      </c>
      <c r="AG13" s="1">
        <v>15.5</v>
      </c>
      <c r="AH13" s="1">
        <v>27</v>
      </c>
      <c r="AI13" s="34">
        <v>0</v>
      </c>
      <c r="AJ13" s="51">
        <v>124.4</v>
      </c>
      <c r="AK13" s="1">
        <v>22930</v>
      </c>
      <c r="AL13" s="52">
        <v>1479</v>
      </c>
      <c r="AM13" s="41">
        <v>1628</v>
      </c>
      <c r="AN13" s="1">
        <v>13.58</v>
      </c>
      <c r="AO13" s="1">
        <v>6985</v>
      </c>
      <c r="AP13" s="1">
        <v>465.7</v>
      </c>
      <c r="AQ13" s="1">
        <v>709.7</v>
      </c>
      <c r="AR13" s="1">
        <v>7.49</v>
      </c>
      <c r="AS13" s="1">
        <v>108</v>
      </c>
      <c r="AT13" s="11">
        <v>1512000</v>
      </c>
    </row>
    <row r="14" spans="1:46" ht="13.5" customHeight="1" thickBot="1">
      <c r="A14" s="99"/>
      <c r="B14" s="106" t="s">
        <v>330</v>
      </c>
      <c r="C14" s="110">
        <f>M15*$C$11</f>
        <v>37.91</v>
      </c>
      <c r="D14" s="106" t="s">
        <v>335</v>
      </c>
      <c r="E14" s="110">
        <f>M17*$C$11</f>
        <v>24.77</v>
      </c>
      <c r="F14" s="107" t="s">
        <v>185</v>
      </c>
      <c r="H14" s="116"/>
      <c r="J14" s="105">
        <f>IF(AND($J$13&gt;143,$J$13&lt;155),"Inserire i dati a lato","")</f>
      </c>
      <c r="M14" s="195">
        <f>INDEX($AB$2:$AL$157,$J$13,10)</f>
        <v>227.46</v>
      </c>
      <c r="N14" s="75" t="s">
        <v>135</v>
      </c>
      <c r="O14" s="77">
        <f>7423*SQRT(P14)</f>
        <v>119692.27853124026</v>
      </c>
      <c r="P14" s="78">
        <v>260</v>
      </c>
      <c r="Q14" s="78">
        <v>800</v>
      </c>
      <c r="R14" s="265"/>
      <c r="S14" s="262" t="s">
        <v>317</v>
      </c>
      <c r="T14" s="95">
        <v>1.5</v>
      </c>
      <c r="U14" s="128"/>
      <c r="AB14" s="10" t="s">
        <v>40</v>
      </c>
      <c r="AC14" s="1">
        <v>105</v>
      </c>
      <c r="AD14" s="1">
        <v>330</v>
      </c>
      <c r="AE14" s="1">
        <v>300</v>
      </c>
      <c r="AF14" s="1">
        <v>9.5</v>
      </c>
      <c r="AG14" s="1">
        <v>16.5</v>
      </c>
      <c r="AH14" s="1">
        <v>27</v>
      </c>
      <c r="AI14" s="34">
        <v>0</v>
      </c>
      <c r="AJ14" s="51">
        <v>133.5</v>
      </c>
      <c r="AK14" s="1">
        <v>27690</v>
      </c>
      <c r="AL14" s="52">
        <v>1678</v>
      </c>
      <c r="AM14" s="41">
        <v>1850</v>
      </c>
      <c r="AN14" s="1">
        <v>14.4</v>
      </c>
      <c r="AO14" s="1">
        <v>7436</v>
      </c>
      <c r="AP14" s="1">
        <v>495.7</v>
      </c>
      <c r="AQ14" s="1">
        <v>755.9</v>
      </c>
      <c r="AR14" s="1">
        <v>7.46</v>
      </c>
      <c r="AS14" s="1">
        <v>127.2</v>
      </c>
      <c r="AT14" s="11">
        <v>1824000</v>
      </c>
    </row>
    <row r="15" spans="1:46" ht="15.75" thickBot="1">
      <c r="A15" s="99"/>
      <c r="B15" s="106">
        <f>IF(AND(AND($J$9&gt;3,$J$9&lt;8),$J$13=148),"Ch =","")</f>
      </c>
      <c r="C15" s="204">
        <f>IF(AND(AND($J$9&gt;3,$J$9&lt;8),$J$13=148),IF($P$2&lt;150,1,IF($P$2&lt;230,0.9,IF($P$2&lt;300,0.9-0.1*($P$2-230)/70,0.8))),"")</f>
      </c>
      <c r="D15" s="106">
        <f>IF(AND(AND($J$9&gt;3,$J$9&lt;8),$J$13=148),"Cb =","")</f>
      </c>
      <c r="E15" s="204">
        <f>IF(AND(AND($J$9&gt;3,$J$9&lt;8),$J$13=148),IF($O$2&lt;150,1,IF($O$2&lt;230,0.9,IF($O$2&lt;300,0.9-0.1*($O$2-230)/70,0.8))),"")</f>
      </c>
      <c r="F15" s="103"/>
      <c r="G15" s="99"/>
      <c r="H15" s="116"/>
      <c r="L15" s="4" t="s">
        <v>2</v>
      </c>
      <c r="M15" s="195">
        <f>INDEX($AB$2:$AL$157,$J$13,11)</f>
        <v>37.91</v>
      </c>
      <c r="N15" s="75" t="s">
        <v>136</v>
      </c>
      <c r="O15" s="77">
        <f>7423*SQRT(P15)</f>
        <v>110100.88273942222</v>
      </c>
      <c r="P15" s="78">
        <v>220</v>
      </c>
      <c r="Q15" s="78">
        <v>800</v>
      </c>
      <c r="R15" s="263"/>
      <c r="S15" s="262" t="s">
        <v>326</v>
      </c>
      <c r="T15" s="95">
        <v>1.5</v>
      </c>
      <c r="U15" s="128"/>
      <c r="AB15" s="10" t="s">
        <v>41</v>
      </c>
      <c r="AC15" s="1">
        <v>112</v>
      </c>
      <c r="AD15" s="1">
        <v>350</v>
      </c>
      <c r="AE15" s="1">
        <v>300</v>
      </c>
      <c r="AF15" s="1">
        <v>10</v>
      </c>
      <c r="AG15" s="1">
        <v>17.5</v>
      </c>
      <c r="AH15" s="1">
        <v>27</v>
      </c>
      <c r="AI15" s="34">
        <v>0</v>
      </c>
      <c r="AJ15" s="51">
        <v>142.8</v>
      </c>
      <c r="AK15" s="1">
        <v>33090</v>
      </c>
      <c r="AL15" s="52">
        <v>1891</v>
      </c>
      <c r="AM15" s="41">
        <v>2088</v>
      </c>
      <c r="AN15" s="1">
        <v>15.22</v>
      </c>
      <c r="AO15" s="1">
        <v>7887</v>
      </c>
      <c r="AP15" s="1">
        <v>525.8</v>
      </c>
      <c r="AQ15" s="1">
        <v>802.3</v>
      </c>
      <c r="AR15" s="1">
        <v>7.43</v>
      </c>
      <c r="AS15" s="1">
        <v>148.8</v>
      </c>
      <c r="AT15" s="11">
        <v>2177000</v>
      </c>
    </row>
    <row r="16" spans="1:46" ht="15.75" thickBot="1">
      <c r="A16" s="99"/>
      <c r="B16" s="243" t="s">
        <v>254</v>
      </c>
      <c r="C16" s="106" t="s">
        <v>255</v>
      </c>
      <c r="D16" s="111">
        <f>L16</f>
        <v>4</v>
      </c>
      <c r="E16" s="107" t="s">
        <v>2</v>
      </c>
      <c r="F16" s="103"/>
      <c r="G16" s="99"/>
      <c r="H16" s="116"/>
      <c r="J16" s="81"/>
      <c r="K16" s="82" t="s">
        <v>131</v>
      </c>
      <c r="L16" s="93">
        <v>4</v>
      </c>
      <c r="M16" s="195">
        <f>INDEX($AB$2:$AP$157,$J$13,14)</f>
        <v>190.71</v>
      </c>
      <c r="N16" s="75" t="s">
        <v>137</v>
      </c>
      <c r="O16" s="77">
        <f>7834*SQRT(P16)</f>
        <v>131087.89295735897</v>
      </c>
      <c r="P16" s="78">
        <v>280</v>
      </c>
      <c r="Q16" s="78">
        <v>800</v>
      </c>
      <c r="R16" s="263"/>
      <c r="S16" s="300" t="s">
        <v>346</v>
      </c>
      <c r="T16" s="301"/>
      <c r="U16" s="128"/>
      <c r="AB16" s="10" t="s">
        <v>42</v>
      </c>
      <c r="AC16" s="1">
        <v>125</v>
      </c>
      <c r="AD16" s="1">
        <v>390</v>
      </c>
      <c r="AE16" s="1">
        <v>300</v>
      </c>
      <c r="AF16" s="1">
        <v>11</v>
      </c>
      <c r="AG16" s="1">
        <v>19</v>
      </c>
      <c r="AH16" s="1">
        <v>27</v>
      </c>
      <c r="AI16" s="34">
        <v>0</v>
      </c>
      <c r="AJ16" s="51">
        <v>159</v>
      </c>
      <c r="AK16" s="1">
        <v>45070</v>
      </c>
      <c r="AL16" s="52">
        <v>2311</v>
      </c>
      <c r="AM16" s="41">
        <v>2562</v>
      </c>
      <c r="AN16" s="1">
        <v>16.84</v>
      </c>
      <c r="AO16" s="1">
        <v>8564</v>
      </c>
      <c r="AP16" s="1">
        <v>570.9</v>
      </c>
      <c r="AQ16" s="1">
        <v>872.9</v>
      </c>
      <c r="AR16" s="1">
        <v>7.34</v>
      </c>
      <c r="AS16" s="1">
        <v>189</v>
      </c>
      <c r="AT16" s="11">
        <v>2942000</v>
      </c>
    </row>
    <row r="17" spans="1:46" ht="15.75" thickBot="1">
      <c r="A17" s="99"/>
      <c r="B17" s="292" t="s">
        <v>232</v>
      </c>
      <c r="C17" s="292"/>
      <c r="D17" s="111">
        <f>L17</f>
        <v>1</v>
      </c>
      <c r="E17" s="107" t="s">
        <v>2</v>
      </c>
      <c r="F17" s="103"/>
      <c r="G17" s="100"/>
      <c r="H17" s="116"/>
      <c r="J17" s="83"/>
      <c r="K17" s="84" t="s">
        <v>233</v>
      </c>
      <c r="L17" s="93">
        <v>1</v>
      </c>
      <c r="M17" s="195">
        <f>INDEX($AB$2:$AP$157,$J$13,15)</f>
        <v>24.77</v>
      </c>
      <c r="N17" s="75" t="s">
        <v>138</v>
      </c>
      <c r="O17" s="77">
        <f>7834*SQRT(P17)</f>
        <v>121363.80613675562</v>
      </c>
      <c r="P17" s="78">
        <v>240</v>
      </c>
      <c r="Q17" s="78">
        <v>800</v>
      </c>
      <c r="R17" s="263"/>
      <c r="S17" s="261" t="s">
        <v>314</v>
      </c>
      <c r="T17" s="95">
        <v>1</v>
      </c>
      <c r="U17" s="128"/>
      <c r="AB17" s="10" t="s">
        <v>43</v>
      </c>
      <c r="AC17" s="1">
        <v>140</v>
      </c>
      <c r="AD17" s="1">
        <v>440</v>
      </c>
      <c r="AE17" s="1">
        <v>300</v>
      </c>
      <c r="AF17" s="1">
        <v>11.5</v>
      </c>
      <c r="AG17" s="1">
        <v>21</v>
      </c>
      <c r="AH17" s="1">
        <v>27</v>
      </c>
      <c r="AI17" s="34">
        <v>0</v>
      </c>
      <c r="AJ17" s="51">
        <v>178</v>
      </c>
      <c r="AK17" s="1">
        <v>63720</v>
      </c>
      <c r="AL17" s="52">
        <v>2896</v>
      </c>
      <c r="AM17" s="41">
        <v>3216</v>
      </c>
      <c r="AN17" s="1">
        <v>18.92</v>
      </c>
      <c r="AO17" s="1">
        <v>9465</v>
      </c>
      <c r="AP17" s="1">
        <v>631</v>
      </c>
      <c r="AQ17" s="1">
        <v>965.5</v>
      </c>
      <c r="AR17" s="1">
        <v>7.29</v>
      </c>
      <c r="AS17" s="1">
        <v>243.8</v>
      </c>
      <c r="AT17" s="11">
        <v>4148000</v>
      </c>
    </row>
    <row r="18" spans="1:46" ht="15.75" customHeight="1" thickBot="1">
      <c r="A18" s="99"/>
      <c r="B18" s="292" t="s">
        <v>331</v>
      </c>
      <c r="C18" s="292"/>
      <c r="D18" s="111">
        <f>L18</f>
        <v>0</v>
      </c>
      <c r="E18" s="114" t="s">
        <v>332</v>
      </c>
      <c r="F18" s="103"/>
      <c r="G18" s="99"/>
      <c r="H18" s="116"/>
      <c r="J18" s="298" t="s">
        <v>331</v>
      </c>
      <c r="K18" s="299"/>
      <c r="L18" s="93">
        <v>0</v>
      </c>
      <c r="M18" s="267" t="s">
        <v>332</v>
      </c>
      <c r="N18" s="76" t="s">
        <v>161</v>
      </c>
      <c r="O18" s="79">
        <v>700000</v>
      </c>
      <c r="P18" s="264">
        <v>100</v>
      </c>
      <c r="Q18" s="80">
        <v>2500</v>
      </c>
      <c r="R18" s="264"/>
      <c r="S18" s="261" t="s">
        <v>315</v>
      </c>
      <c r="T18" s="95">
        <v>1</v>
      </c>
      <c r="U18" s="128"/>
      <c r="V18" s="3" t="s">
        <v>355</v>
      </c>
      <c r="AB18" s="10" t="s">
        <v>44</v>
      </c>
      <c r="AC18" s="1">
        <v>155</v>
      </c>
      <c r="AD18" s="1">
        <v>490</v>
      </c>
      <c r="AE18" s="1">
        <v>300</v>
      </c>
      <c r="AF18" s="1">
        <v>12</v>
      </c>
      <c r="AG18" s="1">
        <v>23</v>
      </c>
      <c r="AH18" s="1">
        <v>27</v>
      </c>
      <c r="AI18" s="34">
        <v>0</v>
      </c>
      <c r="AJ18" s="51">
        <v>197.5</v>
      </c>
      <c r="AK18" s="1">
        <v>86970</v>
      </c>
      <c r="AL18" s="52">
        <v>3550</v>
      </c>
      <c r="AM18" s="41">
        <v>3949</v>
      </c>
      <c r="AN18" s="1">
        <v>20.98</v>
      </c>
      <c r="AO18" s="1">
        <v>10370</v>
      </c>
      <c r="AP18" s="1">
        <v>691.1</v>
      </c>
      <c r="AQ18" s="1">
        <v>1059</v>
      </c>
      <c r="AR18" s="1">
        <v>7.24</v>
      </c>
      <c r="AS18" s="1">
        <v>309.3</v>
      </c>
      <c r="AT18" s="11">
        <v>5643000</v>
      </c>
    </row>
    <row r="19" spans="1:46" ht="16.5" thickBot="1">
      <c r="A19" s="99"/>
      <c r="B19" s="293" t="s">
        <v>6</v>
      </c>
      <c r="C19" s="293"/>
      <c r="D19" s="294" t="str">
        <f>INDEX(N24:N30,J21)</f>
        <v>cerniera-cerniera</v>
      </c>
      <c r="E19" s="294"/>
      <c r="F19" s="103"/>
      <c r="G19" s="99"/>
      <c r="H19" s="116"/>
      <c r="J19" s="104" t="s">
        <v>6</v>
      </c>
      <c r="L19" s="206" t="s">
        <v>261</v>
      </c>
      <c r="M19" s="245">
        <f>IF($J$9=9,"===&gt;&gt;","")</f>
      </c>
      <c r="N19" s="155" t="s">
        <v>167</v>
      </c>
      <c r="O19" s="155">
        <v>100000</v>
      </c>
      <c r="P19" s="95">
        <v>100</v>
      </c>
      <c r="Q19" s="95">
        <v>2000</v>
      </c>
      <c r="R19" s="95">
        <v>2</v>
      </c>
      <c r="S19" s="261" t="s">
        <v>316</v>
      </c>
      <c r="T19" s="95">
        <v>1</v>
      </c>
      <c r="U19" s="128"/>
      <c r="AB19" s="10" t="s">
        <v>45</v>
      </c>
      <c r="AC19" s="1">
        <v>166</v>
      </c>
      <c r="AD19" s="1">
        <v>540</v>
      </c>
      <c r="AE19" s="1">
        <v>300</v>
      </c>
      <c r="AF19" s="1">
        <v>12.5</v>
      </c>
      <c r="AG19" s="1">
        <v>24</v>
      </c>
      <c r="AH19" s="1">
        <v>27</v>
      </c>
      <c r="AI19" s="34">
        <v>0</v>
      </c>
      <c r="AJ19" s="51">
        <v>211.8</v>
      </c>
      <c r="AK19" s="1">
        <v>111900</v>
      </c>
      <c r="AL19" s="52">
        <v>4146</v>
      </c>
      <c r="AM19" s="41">
        <v>4622</v>
      </c>
      <c r="AN19" s="1">
        <v>22.99</v>
      </c>
      <c r="AO19" s="1">
        <v>10820</v>
      </c>
      <c r="AP19" s="1">
        <v>721.3</v>
      </c>
      <c r="AQ19" s="1">
        <v>1107</v>
      </c>
      <c r="AR19" s="1">
        <v>7.15</v>
      </c>
      <c r="AS19" s="1">
        <v>351.5</v>
      </c>
      <c r="AT19" s="11">
        <v>7189000</v>
      </c>
    </row>
    <row r="20" spans="1:46" ht="16.5" customHeight="1" thickBot="1">
      <c r="A20" s="99"/>
      <c r="B20" s="103"/>
      <c r="C20" s="112">
        <f>IF($L$21&gt;0,"coeff. sismico verticale =","")</f>
      </c>
      <c r="D20" s="113">
        <f>IF($L$21&gt;0,L21,"")</f>
      </c>
      <c r="E20" s="114"/>
      <c r="F20" s="103"/>
      <c r="G20" s="99"/>
      <c r="H20" s="116"/>
      <c r="J20" s="67"/>
      <c r="K20" s="68"/>
      <c r="L20" s="205" t="s">
        <v>239</v>
      </c>
      <c r="S20" s="262" t="s">
        <v>317</v>
      </c>
      <c r="T20" s="95">
        <v>1</v>
      </c>
      <c r="U20" s="128"/>
      <c r="AB20" s="10" t="s">
        <v>46</v>
      </c>
      <c r="AC20" s="1">
        <v>178</v>
      </c>
      <c r="AD20" s="1">
        <v>590</v>
      </c>
      <c r="AE20" s="1">
        <v>300</v>
      </c>
      <c r="AF20" s="1">
        <v>13</v>
      </c>
      <c r="AG20" s="1">
        <v>25</v>
      </c>
      <c r="AH20" s="1">
        <v>27</v>
      </c>
      <c r="AI20" s="34">
        <v>0</v>
      </c>
      <c r="AJ20" s="51">
        <v>226.5</v>
      </c>
      <c r="AK20" s="1">
        <v>141200</v>
      </c>
      <c r="AL20" s="52">
        <v>4787</v>
      </c>
      <c r="AM20" s="41">
        <v>5350</v>
      </c>
      <c r="AN20" s="1">
        <v>24.97</v>
      </c>
      <c r="AO20" s="1">
        <v>11270</v>
      </c>
      <c r="AP20" s="1">
        <v>751.4</v>
      </c>
      <c r="AQ20" s="1">
        <v>1156</v>
      </c>
      <c r="AR20" s="1">
        <v>7.05</v>
      </c>
      <c r="AS20" s="1">
        <v>397.8</v>
      </c>
      <c r="AT20" s="11">
        <v>8978000</v>
      </c>
    </row>
    <row r="21" spans="1:46" ht="15.75" customHeight="1" thickBot="1">
      <c r="A21" s="99"/>
      <c r="B21" s="295" t="s">
        <v>1</v>
      </c>
      <c r="C21" s="295"/>
      <c r="D21" s="115"/>
      <c r="E21" s="107"/>
      <c r="F21" s="103"/>
      <c r="G21" s="102"/>
      <c r="H21" s="117"/>
      <c r="J21" s="97">
        <v>1</v>
      </c>
      <c r="K21" s="7"/>
      <c r="L21" s="93">
        <v>0</v>
      </c>
      <c r="S21" s="262" t="s">
        <v>326</v>
      </c>
      <c r="T21" s="95">
        <v>1</v>
      </c>
      <c r="U21" s="128"/>
      <c r="AB21" s="10" t="s">
        <v>47</v>
      </c>
      <c r="AC21" s="1">
        <v>190</v>
      </c>
      <c r="AD21" s="1">
        <v>640</v>
      </c>
      <c r="AE21" s="1">
        <v>300</v>
      </c>
      <c r="AF21" s="1">
        <v>13.5</v>
      </c>
      <c r="AG21" s="1">
        <v>26</v>
      </c>
      <c r="AH21" s="1">
        <v>27</v>
      </c>
      <c r="AI21" s="34">
        <v>0</v>
      </c>
      <c r="AJ21" s="51">
        <v>241.6</v>
      </c>
      <c r="AK21" s="1">
        <v>175200</v>
      </c>
      <c r="AL21" s="52">
        <v>5474</v>
      </c>
      <c r="AM21" s="41">
        <v>6136</v>
      </c>
      <c r="AN21" s="1">
        <v>26.93</v>
      </c>
      <c r="AO21" s="1">
        <v>11720</v>
      </c>
      <c r="AP21" s="1">
        <v>781.6</v>
      </c>
      <c r="AQ21" s="1">
        <v>1205</v>
      </c>
      <c r="AR21" s="1">
        <v>6.97</v>
      </c>
      <c r="AS21" s="1">
        <v>448.3</v>
      </c>
      <c r="AT21" s="11">
        <v>11030000</v>
      </c>
    </row>
    <row r="22" spans="1:46" ht="18.75" thickBot="1">
      <c r="A22" s="99"/>
      <c r="B22" s="292" t="s">
        <v>321</v>
      </c>
      <c r="C22" s="292"/>
      <c r="D22" s="115">
        <f>L23</f>
        <v>80</v>
      </c>
      <c r="E22" s="107" t="s">
        <v>186</v>
      </c>
      <c r="F22" s="103"/>
      <c r="G22" s="99"/>
      <c r="H22" s="116"/>
      <c r="J22" s="246">
        <f>IF($J$21=7,"Inserire i dati a lato","")</f>
      </c>
      <c r="K22" s="6"/>
      <c r="L22" s="4" t="s">
        <v>141</v>
      </c>
      <c r="N22" s="135"/>
      <c r="O22" s="135"/>
      <c r="P22" s="135"/>
      <c r="Q22" s="135"/>
      <c r="R22" s="99"/>
      <c r="S22" s="136" t="s">
        <v>195</v>
      </c>
      <c r="U22" s="128"/>
      <c r="AB22" s="10" t="s">
        <v>48</v>
      </c>
      <c r="AC22" s="1">
        <v>204</v>
      </c>
      <c r="AD22" s="1">
        <v>690</v>
      </c>
      <c r="AE22" s="1">
        <v>300</v>
      </c>
      <c r="AF22" s="1">
        <v>14.5</v>
      </c>
      <c r="AG22" s="1">
        <v>27</v>
      </c>
      <c r="AH22" s="1">
        <v>27</v>
      </c>
      <c r="AI22" s="34">
        <v>0</v>
      </c>
      <c r="AJ22" s="51">
        <v>260.5</v>
      </c>
      <c r="AK22" s="1">
        <v>215300</v>
      </c>
      <c r="AL22" s="52">
        <v>6241</v>
      </c>
      <c r="AM22" s="41">
        <v>7032</v>
      </c>
      <c r="AN22" s="1">
        <v>28.75</v>
      </c>
      <c r="AO22" s="1">
        <v>12180</v>
      </c>
      <c r="AP22" s="1">
        <v>811.9</v>
      </c>
      <c r="AQ22" s="1">
        <v>1257</v>
      </c>
      <c r="AR22" s="1">
        <v>6.84</v>
      </c>
      <c r="AS22" s="1">
        <v>513.9</v>
      </c>
      <c r="AT22" s="11">
        <v>13350000</v>
      </c>
    </row>
    <row r="23" spans="1:46" ht="15.75" thickBot="1">
      <c r="A23" s="99"/>
      <c r="B23" s="292" t="s">
        <v>322</v>
      </c>
      <c r="C23" s="292"/>
      <c r="D23" s="115">
        <f>L24</f>
        <v>100</v>
      </c>
      <c r="E23" s="107" t="s">
        <v>186</v>
      </c>
      <c r="F23" s="103"/>
      <c r="G23" s="99"/>
      <c r="H23" s="116"/>
      <c r="J23" s="81"/>
      <c r="K23" s="85" t="s">
        <v>190</v>
      </c>
      <c r="L23" s="94">
        <v>80</v>
      </c>
      <c r="N23" s="137" t="s">
        <v>174</v>
      </c>
      <c r="O23" s="138" t="s">
        <v>176</v>
      </c>
      <c r="P23" s="139" t="s">
        <v>175</v>
      </c>
      <c r="Q23" s="138" t="s">
        <v>199</v>
      </c>
      <c r="R23" s="140" t="s">
        <v>177</v>
      </c>
      <c r="S23" s="141" t="s">
        <v>194</v>
      </c>
      <c r="U23" s="128"/>
      <c r="AB23" s="10" t="s">
        <v>49</v>
      </c>
      <c r="AC23" s="1">
        <v>224</v>
      </c>
      <c r="AD23" s="1">
        <v>790</v>
      </c>
      <c r="AE23" s="1">
        <v>300</v>
      </c>
      <c r="AF23" s="1">
        <v>15</v>
      </c>
      <c r="AG23" s="1">
        <v>28</v>
      </c>
      <c r="AH23" s="1">
        <v>30</v>
      </c>
      <c r="AI23" s="34">
        <v>0</v>
      </c>
      <c r="AJ23" s="51">
        <v>285.8</v>
      </c>
      <c r="AK23" s="1">
        <v>303400</v>
      </c>
      <c r="AL23" s="52">
        <v>7682</v>
      </c>
      <c r="AM23" s="41">
        <v>8699</v>
      </c>
      <c r="AN23" s="1">
        <v>32.58</v>
      </c>
      <c r="AO23" s="1">
        <v>12640</v>
      </c>
      <c r="AP23" s="1">
        <v>842.6</v>
      </c>
      <c r="AQ23" s="1">
        <v>1312</v>
      </c>
      <c r="AR23" s="1">
        <v>6.65</v>
      </c>
      <c r="AS23" s="1">
        <v>596.9</v>
      </c>
      <c r="AT23" s="11">
        <v>18290000</v>
      </c>
    </row>
    <row r="24" spans="1:46" ht="15.75" thickBot="1">
      <c r="A24" s="99"/>
      <c r="B24" s="292" t="s">
        <v>318</v>
      </c>
      <c r="C24" s="292"/>
      <c r="D24" s="202">
        <f>IF(L26&gt;0,L26,INT(D10*D12/1000)/10)</f>
        <v>8.8</v>
      </c>
      <c r="E24" s="107" t="s">
        <v>197</v>
      </c>
      <c r="F24" s="103"/>
      <c r="G24" s="99"/>
      <c r="H24" s="116"/>
      <c r="J24" s="81"/>
      <c r="K24" s="85" t="s">
        <v>189</v>
      </c>
      <c r="L24" s="94">
        <v>100</v>
      </c>
      <c r="N24" s="142" t="s">
        <v>171</v>
      </c>
      <c r="O24" s="143">
        <v>8</v>
      </c>
      <c r="P24" s="143">
        <v>4</v>
      </c>
      <c r="Q24" s="144">
        <f>5/384</f>
        <v>0.013020833333333334</v>
      </c>
      <c r="R24" s="144">
        <v>0.020833333333333332</v>
      </c>
      <c r="S24" s="145" t="s">
        <v>181</v>
      </c>
      <c r="U24" s="128"/>
      <c r="AB24" s="10" t="s">
        <v>50</v>
      </c>
      <c r="AC24" s="1">
        <v>252</v>
      </c>
      <c r="AD24" s="1">
        <v>890</v>
      </c>
      <c r="AE24" s="1">
        <v>300</v>
      </c>
      <c r="AF24" s="1">
        <v>16</v>
      </c>
      <c r="AG24" s="1">
        <v>30</v>
      </c>
      <c r="AH24" s="1">
        <v>30</v>
      </c>
      <c r="AI24" s="34">
        <v>0</v>
      </c>
      <c r="AJ24" s="51">
        <v>320.5</v>
      </c>
      <c r="AK24" s="1">
        <v>422100</v>
      </c>
      <c r="AL24" s="52">
        <v>9485</v>
      </c>
      <c r="AM24" s="41">
        <v>10810</v>
      </c>
      <c r="AN24" s="1">
        <v>36.29</v>
      </c>
      <c r="AO24" s="1">
        <v>13550</v>
      </c>
      <c r="AP24" s="1">
        <v>903.2</v>
      </c>
      <c r="AQ24" s="1">
        <v>1414</v>
      </c>
      <c r="AR24" s="1">
        <v>6.5</v>
      </c>
      <c r="AS24" s="1">
        <v>736.8</v>
      </c>
      <c r="AT24" s="11">
        <v>24960000</v>
      </c>
    </row>
    <row r="25" spans="1:46" ht="15.75" customHeight="1" thickBot="1">
      <c r="A25" s="99"/>
      <c r="B25" s="292" t="s">
        <v>323</v>
      </c>
      <c r="C25" s="292"/>
      <c r="D25" s="115">
        <f>L27</f>
        <v>0</v>
      </c>
      <c r="E25" s="107" t="s">
        <v>3</v>
      </c>
      <c r="G25" s="99"/>
      <c r="H25" s="116"/>
      <c r="L25" s="4" t="s">
        <v>197</v>
      </c>
      <c r="N25" s="146" t="s">
        <v>173</v>
      </c>
      <c r="O25" s="144">
        <v>10</v>
      </c>
      <c r="P25" s="144">
        <v>6</v>
      </c>
      <c r="Q25" s="144">
        <f>3/384</f>
        <v>0.0078125</v>
      </c>
      <c r="R25" s="144">
        <v>0.013020833333333332</v>
      </c>
      <c r="S25" s="147" t="s">
        <v>181</v>
      </c>
      <c r="U25" s="128"/>
      <c r="AB25" s="21" t="s">
        <v>28</v>
      </c>
      <c r="AC25" s="22">
        <v>272</v>
      </c>
      <c r="AD25" s="22">
        <v>990</v>
      </c>
      <c r="AE25" s="22">
        <v>300</v>
      </c>
      <c r="AF25" s="22">
        <v>16.5</v>
      </c>
      <c r="AG25" s="22">
        <v>31</v>
      </c>
      <c r="AH25" s="22">
        <v>30</v>
      </c>
      <c r="AI25" s="35">
        <v>0</v>
      </c>
      <c r="AJ25" s="53">
        <v>346.8</v>
      </c>
      <c r="AK25" s="22">
        <v>553800</v>
      </c>
      <c r="AL25" s="54">
        <v>11190</v>
      </c>
      <c r="AM25" s="42">
        <v>12820</v>
      </c>
      <c r="AN25" s="22">
        <v>39.96</v>
      </c>
      <c r="AO25" s="22">
        <v>14000</v>
      </c>
      <c r="AP25" s="22">
        <v>933.6</v>
      </c>
      <c r="AQ25" s="22">
        <v>1470</v>
      </c>
      <c r="AR25" s="22">
        <v>6.35</v>
      </c>
      <c r="AS25" s="22">
        <v>822.4</v>
      </c>
      <c r="AT25" s="23">
        <v>32070000</v>
      </c>
    </row>
    <row r="26" spans="1:46" ht="13.5" customHeight="1" thickBot="1">
      <c r="A26" s="99"/>
      <c r="B26" s="292" t="s">
        <v>324</v>
      </c>
      <c r="C26" s="292"/>
      <c r="D26" s="115">
        <f>L30</f>
        <v>0</v>
      </c>
      <c r="E26" s="107" t="s">
        <v>4</v>
      </c>
      <c r="F26" s="271">
        <f>IF(D26&gt;0,"Ascissa x ="&amp;IF(J21=6,D16,IF($J$21=7,S30,D16/2))&amp;"m","")</f>
      </c>
      <c r="G26" s="99"/>
      <c r="H26" s="116"/>
      <c r="J26" s="81"/>
      <c r="K26" s="85" t="s">
        <v>235</v>
      </c>
      <c r="L26" s="94">
        <v>0</v>
      </c>
      <c r="M26" s="3"/>
      <c r="N26" s="146" t="s">
        <v>201</v>
      </c>
      <c r="O26" s="144">
        <v>8</v>
      </c>
      <c r="P26" s="144">
        <f>48/9</f>
        <v>5.333333333333333</v>
      </c>
      <c r="Q26" s="144">
        <f>2/384</f>
        <v>0.005208333333333333</v>
      </c>
      <c r="R26" s="144">
        <v>0.009345794392523364</v>
      </c>
      <c r="S26" s="147" t="s">
        <v>181</v>
      </c>
      <c r="U26" s="128"/>
      <c r="AB26" s="18" t="s">
        <v>51</v>
      </c>
      <c r="AC26" s="19">
        <v>20.4</v>
      </c>
      <c r="AD26" s="19">
        <v>100</v>
      </c>
      <c r="AE26" s="19">
        <v>100</v>
      </c>
      <c r="AF26" s="19">
        <v>6</v>
      </c>
      <c r="AG26" s="19">
        <v>10</v>
      </c>
      <c r="AH26" s="19">
        <v>12</v>
      </c>
      <c r="AI26" s="33">
        <v>0</v>
      </c>
      <c r="AJ26" s="49">
        <v>26.04</v>
      </c>
      <c r="AK26" s="19">
        <v>449.5</v>
      </c>
      <c r="AL26" s="50">
        <v>89.91</v>
      </c>
      <c r="AM26" s="40">
        <v>104.2</v>
      </c>
      <c r="AN26" s="19">
        <v>4.16</v>
      </c>
      <c r="AO26" s="19">
        <v>167.3</v>
      </c>
      <c r="AP26" s="19">
        <v>33.45</v>
      </c>
      <c r="AQ26" s="19">
        <v>51.42</v>
      </c>
      <c r="AR26" s="19">
        <v>2.53</v>
      </c>
      <c r="AS26" s="19">
        <v>9.25</v>
      </c>
      <c r="AT26" s="20">
        <v>3380</v>
      </c>
    </row>
    <row r="27" spans="1:46" ht="15.75" thickBot="1">
      <c r="A27" s="99"/>
      <c r="B27" s="103"/>
      <c r="C27" s="103"/>
      <c r="D27" s="268" t="s">
        <v>350</v>
      </c>
      <c r="E27" s="268" t="s">
        <v>351</v>
      </c>
      <c r="F27" s="103"/>
      <c r="G27" s="99"/>
      <c r="H27" s="116"/>
      <c r="J27" s="81"/>
      <c r="K27" s="85" t="s">
        <v>238</v>
      </c>
      <c r="L27" s="94">
        <v>0</v>
      </c>
      <c r="N27" s="146" t="s">
        <v>172</v>
      </c>
      <c r="O27" s="144">
        <v>12</v>
      </c>
      <c r="P27" s="144">
        <v>8</v>
      </c>
      <c r="Q27" s="144">
        <f>1/384</f>
        <v>0.0026041666666666665</v>
      </c>
      <c r="R27" s="144">
        <v>0.005208333333333333</v>
      </c>
      <c r="S27" s="147" t="s">
        <v>181</v>
      </c>
      <c r="U27" s="128"/>
      <c r="AB27" s="10" t="s">
        <v>53</v>
      </c>
      <c r="AC27" s="1">
        <v>26.7</v>
      </c>
      <c r="AD27" s="1">
        <v>120</v>
      </c>
      <c r="AE27" s="1">
        <v>120</v>
      </c>
      <c r="AF27" s="1">
        <v>6.5</v>
      </c>
      <c r="AG27" s="1">
        <v>11</v>
      </c>
      <c r="AH27" s="1">
        <v>12</v>
      </c>
      <c r="AI27" s="34">
        <v>0</v>
      </c>
      <c r="AJ27" s="51">
        <v>34.01</v>
      </c>
      <c r="AK27" s="1">
        <v>864.4</v>
      </c>
      <c r="AL27" s="52">
        <v>144.1</v>
      </c>
      <c r="AM27" s="41">
        <v>165.2</v>
      </c>
      <c r="AN27" s="1">
        <v>5.04</v>
      </c>
      <c r="AO27" s="1">
        <v>317.5</v>
      </c>
      <c r="AP27" s="1">
        <v>52.92</v>
      </c>
      <c r="AQ27" s="1">
        <v>80.97</v>
      </c>
      <c r="AR27" s="1">
        <v>3.06</v>
      </c>
      <c r="AS27" s="1">
        <v>13.84</v>
      </c>
      <c r="AT27" s="11">
        <v>9410</v>
      </c>
    </row>
    <row r="28" spans="1:46" ht="15">
      <c r="A28" s="99"/>
      <c r="B28" s="302" t="str">
        <f>"C.tot:"&amp;T11&amp;"G+"&amp;T12&amp;"P+"&amp;T13&amp;"Q+"&amp;T14&amp;"q="</f>
        <v>C.tot:1,3G+1,5P+1,5Q+1,5q=</v>
      </c>
      <c r="C28" s="302"/>
      <c r="D28" s="203">
        <f>((T12*D22+T13*D23)*D17+T11*D24+T14*D25)*(1+IF(D20="",0,D20))*COS(D18*3.1415/180)</f>
        <v>281.44</v>
      </c>
      <c r="E28" s="203">
        <f>((T12*D22+T13*D23)*D17+T11*D24+T14*D25)*(1+IF(D20="",0,D20))*SIN(D18*3.1415/180)</f>
        <v>0</v>
      </c>
      <c r="F28" s="107" t="s">
        <v>3</v>
      </c>
      <c r="G28" s="99"/>
      <c r="H28" s="116"/>
      <c r="L28" s="133" t="s">
        <v>263</v>
      </c>
      <c r="N28" s="146" t="s">
        <v>202</v>
      </c>
      <c r="O28" s="144">
        <v>12</v>
      </c>
      <c r="P28" s="144">
        <v>4</v>
      </c>
      <c r="Q28" s="144">
        <f>3.2/384</f>
        <v>0.008333333333333333</v>
      </c>
      <c r="R28" s="144">
        <v>0.020833333333333332</v>
      </c>
      <c r="S28" s="147" t="s">
        <v>181</v>
      </c>
      <c r="U28" s="128"/>
      <c r="AB28" s="10" t="s">
        <v>54</v>
      </c>
      <c r="AC28" s="1">
        <v>33.7</v>
      </c>
      <c r="AD28" s="1">
        <v>140</v>
      </c>
      <c r="AE28" s="1">
        <v>140</v>
      </c>
      <c r="AF28" s="1">
        <v>7</v>
      </c>
      <c r="AG28" s="1">
        <v>12</v>
      </c>
      <c r="AH28" s="1">
        <v>12</v>
      </c>
      <c r="AI28" s="34">
        <v>0</v>
      </c>
      <c r="AJ28" s="51">
        <v>42.96</v>
      </c>
      <c r="AK28" s="1">
        <v>1509</v>
      </c>
      <c r="AL28" s="52">
        <v>215.6</v>
      </c>
      <c r="AM28" s="41">
        <v>245.4</v>
      </c>
      <c r="AN28" s="1">
        <v>5.93</v>
      </c>
      <c r="AO28" s="1">
        <v>549.7</v>
      </c>
      <c r="AP28" s="1">
        <v>78.52</v>
      </c>
      <c r="AQ28" s="1">
        <v>119.8</v>
      </c>
      <c r="AR28" s="1">
        <v>3.58</v>
      </c>
      <c r="AS28" s="1">
        <v>20.06</v>
      </c>
      <c r="AT28" s="11">
        <v>22480</v>
      </c>
    </row>
    <row r="29" spans="1:46" ht="15.75" thickBot="1">
      <c r="A29" s="99"/>
      <c r="B29" s="304" t="s">
        <v>198</v>
      </c>
      <c r="C29" s="304"/>
      <c r="D29" s="269">
        <f>INDEX(O24:O30,J21)</f>
        <v>8</v>
      </c>
      <c r="E29" s="269">
        <f>INDEX(O24:O30,J21)</f>
        <v>8</v>
      </c>
      <c r="F29" s="107"/>
      <c r="G29" s="99"/>
      <c r="H29" s="116"/>
      <c r="L29" s="4" t="s">
        <v>178</v>
      </c>
      <c r="N29" s="146" t="s">
        <v>180</v>
      </c>
      <c r="O29" s="144">
        <v>2</v>
      </c>
      <c r="P29" s="144">
        <v>1</v>
      </c>
      <c r="Q29" s="144">
        <f>1/8</f>
        <v>0.125</v>
      </c>
      <c r="R29" s="144">
        <v>0.3333333333333333</v>
      </c>
      <c r="S29" s="147" t="s">
        <v>182</v>
      </c>
      <c r="U29" s="128"/>
      <c r="AB29" s="10" t="s">
        <v>55</v>
      </c>
      <c r="AC29" s="1">
        <v>42.6</v>
      </c>
      <c r="AD29" s="1">
        <v>160</v>
      </c>
      <c r="AE29" s="1">
        <v>160</v>
      </c>
      <c r="AF29" s="1">
        <v>8</v>
      </c>
      <c r="AG29" s="1">
        <v>13</v>
      </c>
      <c r="AH29" s="1">
        <v>15</v>
      </c>
      <c r="AI29" s="34">
        <v>0</v>
      </c>
      <c r="AJ29" s="51">
        <v>54.25</v>
      </c>
      <c r="AK29" s="1">
        <v>2492</v>
      </c>
      <c r="AL29" s="52">
        <v>311.5</v>
      </c>
      <c r="AM29" s="41">
        <v>354</v>
      </c>
      <c r="AN29" s="1">
        <v>6.78</v>
      </c>
      <c r="AO29" s="1">
        <v>889.2</v>
      </c>
      <c r="AP29" s="1">
        <v>111.2</v>
      </c>
      <c r="AQ29" s="1">
        <v>170</v>
      </c>
      <c r="AR29" s="1">
        <v>4.05</v>
      </c>
      <c r="AS29" s="1">
        <v>31.24</v>
      </c>
      <c r="AT29" s="11">
        <v>47940</v>
      </c>
    </row>
    <row r="30" spans="1:46" ht="14.25" customHeight="1" thickBot="1">
      <c r="A30" s="99"/>
      <c r="B30" s="302" t="str">
        <f>"Carico concentrato "&amp;T15&amp;"p="</f>
        <v>Carico concentrato 1,5p=</v>
      </c>
      <c r="C30" s="302"/>
      <c r="D30" s="203">
        <f>$T$15*D26*COS(D18*3.1415/180)*(1+IF(D20="",0,D20))</f>
        <v>0</v>
      </c>
      <c r="E30" s="203">
        <f>$T$15*D26*SIN(D18*3.1415/180)*(1+IF(D20="",0,D20))</f>
        <v>0</v>
      </c>
      <c r="F30" s="107" t="s">
        <v>4</v>
      </c>
      <c r="G30" s="99"/>
      <c r="H30" s="116"/>
      <c r="J30" s="81"/>
      <c r="K30" s="85" t="s">
        <v>188</v>
      </c>
      <c r="L30" s="94">
        <v>0</v>
      </c>
      <c r="M30" s="247">
        <f>IF($J$21=7,"===&gt;&gt;","")</f>
      </c>
      <c r="N30" s="95" t="s">
        <v>312</v>
      </c>
      <c r="O30" s="149">
        <v>15.59</v>
      </c>
      <c r="P30" s="149">
        <v>4</v>
      </c>
      <c r="Q30" s="149">
        <f>0.00652</f>
        <v>0.00652</v>
      </c>
      <c r="R30" s="149">
        <v>0.02083333</v>
      </c>
      <c r="S30" s="149">
        <v>0.5</v>
      </c>
      <c r="U30" s="128"/>
      <c r="AB30" s="10" t="s">
        <v>56</v>
      </c>
      <c r="AC30" s="1">
        <v>51.2</v>
      </c>
      <c r="AD30" s="1">
        <v>180</v>
      </c>
      <c r="AE30" s="1">
        <v>180</v>
      </c>
      <c r="AF30" s="1">
        <v>8.5</v>
      </c>
      <c r="AG30" s="1">
        <v>14</v>
      </c>
      <c r="AH30" s="1">
        <v>15</v>
      </c>
      <c r="AI30" s="34">
        <v>0</v>
      </c>
      <c r="AJ30" s="51">
        <v>65.25</v>
      </c>
      <c r="AK30" s="1">
        <v>3831</v>
      </c>
      <c r="AL30" s="52">
        <v>425.7</v>
      </c>
      <c r="AM30" s="41">
        <v>481.4</v>
      </c>
      <c r="AN30" s="1">
        <v>7.66</v>
      </c>
      <c r="AO30" s="1">
        <v>1363</v>
      </c>
      <c r="AP30" s="1">
        <v>151.4</v>
      </c>
      <c r="AQ30" s="1">
        <v>231</v>
      </c>
      <c r="AR30" s="1">
        <v>4.57</v>
      </c>
      <c r="AS30" s="1">
        <v>42.16</v>
      </c>
      <c r="AT30" s="11">
        <v>93750</v>
      </c>
    </row>
    <row r="31" spans="1:46" ht="15">
      <c r="A31" s="99"/>
      <c r="B31" s="303" t="s">
        <v>325</v>
      </c>
      <c r="C31" s="303"/>
      <c r="D31" s="120">
        <f>INDEX(P24:P30,J21)</f>
        <v>4</v>
      </c>
      <c r="E31" s="120">
        <f>INDEX(P24:P30,J21)</f>
        <v>4</v>
      </c>
      <c r="F31" s="103"/>
      <c r="G31" s="99"/>
      <c r="H31" s="116"/>
      <c r="L31" s="133" t="s">
        <v>205</v>
      </c>
      <c r="N31" s="135" t="s">
        <v>196</v>
      </c>
      <c r="O31" s="135"/>
      <c r="P31" s="135"/>
      <c r="Q31" s="135"/>
      <c r="R31" s="99"/>
      <c r="S31" s="99"/>
      <c r="U31" s="128"/>
      <c r="AB31" s="10" t="s">
        <v>57</v>
      </c>
      <c r="AC31" s="1">
        <v>61.3</v>
      </c>
      <c r="AD31" s="1">
        <v>200</v>
      </c>
      <c r="AE31" s="1">
        <v>200</v>
      </c>
      <c r="AF31" s="1">
        <v>9</v>
      </c>
      <c r="AG31" s="1">
        <v>15</v>
      </c>
      <c r="AH31" s="1">
        <v>18</v>
      </c>
      <c r="AI31" s="34">
        <v>0</v>
      </c>
      <c r="AJ31" s="51">
        <v>78.08</v>
      </c>
      <c r="AK31" s="1">
        <v>5696</v>
      </c>
      <c r="AL31" s="52">
        <v>569.6</v>
      </c>
      <c r="AM31" s="41">
        <v>642.5</v>
      </c>
      <c r="AN31" s="1">
        <v>8.54</v>
      </c>
      <c r="AO31" s="1">
        <v>2003</v>
      </c>
      <c r="AP31" s="1">
        <v>200.3</v>
      </c>
      <c r="AQ31" s="1">
        <v>305.8</v>
      </c>
      <c r="AR31" s="1">
        <v>5.07</v>
      </c>
      <c r="AS31" s="1">
        <v>59.28</v>
      </c>
      <c r="AT31" s="11">
        <v>171100</v>
      </c>
    </row>
    <row r="32" spans="1:46" ht="12" customHeight="1">
      <c r="A32" s="99"/>
      <c r="B32" s="103"/>
      <c r="C32" s="106"/>
      <c r="D32" s="111"/>
      <c r="E32" s="107"/>
      <c r="F32" s="121"/>
      <c r="G32" s="99"/>
      <c r="H32" s="116"/>
      <c r="U32" s="128"/>
      <c r="AB32" s="10" t="s">
        <v>58</v>
      </c>
      <c r="AC32" s="1">
        <v>71.5</v>
      </c>
      <c r="AD32" s="1">
        <v>220</v>
      </c>
      <c r="AE32" s="1">
        <v>220</v>
      </c>
      <c r="AF32" s="1">
        <v>9.5</v>
      </c>
      <c r="AG32" s="1">
        <v>16</v>
      </c>
      <c r="AH32" s="1">
        <v>18</v>
      </c>
      <c r="AI32" s="34">
        <v>0</v>
      </c>
      <c r="AJ32" s="51">
        <v>91.04</v>
      </c>
      <c r="AK32" s="1">
        <v>8091</v>
      </c>
      <c r="AL32" s="52">
        <v>735.5</v>
      </c>
      <c r="AM32" s="41">
        <v>827</v>
      </c>
      <c r="AN32" s="1">
        <v>9.43</v>
      </c>
      <c r="AO32" s="1">
        <v>2843</v>
      </c>
      <c r="AP32" s="1">
        <v>258.5</v>
      </c>
      <c r="AQ32" s="1">
        <v>393.9</v>
      </c>
      <c r="AR32" s="1">
        <v>5.59</v>
      </c>
      <c r="AS32" s="1">
        <v>76.57</v>
      </c>
      <c r="AT32" s="11">
        <v>295400</v>
      </c>
    </row>
    <row r="33" spans="1:46" ht="15.75" thickBot="1">
      <c r="A33" s="99"/>
      <c r="B33" s="278" t="s">
        <v>345</v>
      </c>
      <c r="C33" s="278"/>
      <c r="D33" s="278"/>
      <c r="E33" s="278"/>
      <c r="F33" s="103"/>
      <c r="G33" s="99"/>
      <c r="H33" s="116"/>
      <c r="L33" s="4" t="s">
        <v>7</v>
      </c>
      <c r="U33" s="128"/>
      <c r="AB33" s="10" t="s">
        <v>59</v>
      </c>
      <c r="AC33" s="1">
        <v>83.2</v>
      </c>
      <c r="AD33" s="1">
        <v>240</v>
      </c>
      <c r="AE33" s="1">
        <v>240</v>
      </c>
      <c r="AF33" s="1">
        <v>10</v>
      </c>
      <c r="AG33" s="1">
        <v>17</v>
      </c>
      <c r="AH33" s="1">
        <v>21</v>
      </c>
      <c r="AI33" s="34">
        <v>0</v>
      </c>
      <c r="AJ33" s="51">
        <v>106</v>
      </c>
      <c r="AK33" s="1">
        <v>11260</v>
      </c>
      <c r="AL33" s="52">
        <v>938.3</v>
      </c>
      <c r="AM33" s="41">
        <v>1053</v>
      </c>
      <c r="AN33" s="1">
        <v>10.31</v>
      </c>
      <c r="AO33" s="1">
        <v>3923</v>
      </c>
      <c r="AP33" s="1">
        <v>326.9</v>
      </c>
      <c r="AQ33" s="1">
        <v>498.4</v>
      </c>
      <c r="AR33" s="1">
        <v>6.08</v>
      </c>
      <c r="AS33" s="1">
        <v>102.7</v>
      </c>
      <c r="AT33" s="11">
        <v>486900</v>
      </c>
    </row>
    <row r="34" spans="1:46" ht="15.75" thickBot="1">
      <c r="A34" s="99"/>
      <c r="B34" s="103"/>
      <c r="C34" s="106"/>
      <c r="D34" s="103"/>
      <c r="E34" s="107"/>
      <c r="F34" s="103"/>
      <c r="G34" s="99"/>
      <c r="H34" s="116"/>
      <c r="J34" s="81" t="s">
        <v>336</v>
      </c>
      <c r="K34" s="94">
        <v>0</v>
      </c>
      <c r="L34" s="94">
        <v>0</v>
      </c>
      <c r="N34" s="288" t="s">
        <v>242</v>
      </c>
      <c r="O34" s="289"/>
      <c r="P34" s="290"/>
      <c r="U34" s="128"/>
      <c r="AB34" s="10" t="s">
        <v>60</v>
      </c>
      <c r="AC34" s="1">
        <v>93</v>
      </c>
      <c r="AD34" s="1">
        <v>260</v>
      </c>
      <c r="AE34" s="1">
        <v>260</v>
      </c>
      <c r="AF34" s="1">
        <v>10</v>
      </c>
      <c r="AG34" s="1">
        <v>17.5</v>
      </c>
      <c r="AH34" s="1">
        <v>24</v>
      </c>
      <c r="AI34" s="34">
        <v>0</v>
      </c>
      <c r="AJ34" s="51">
        <v>118.4</v>
      </c>
      <c r="AK34" s="1">
        <v>14920</v>
      </c>
      <c r="AL34" s="52">
        <v>1148</v>
      </c>
      <c r="AM34" s="41">
        <v>1283</v>
      </c>
      <c r="AN34" s="1">
        <v>11.22</v>
      </c>
      <c r="AO34" s="1">
        <v>5135</v>
      </c>
      <c r="AP34" s="1">
        <v>395</v>
      </c>
      <c r="AQ34" s="1">
        <v>602.2</v>
      </c>
      <c r="AR34" s="1">
        <v>6.58</v>
      </c>
      <c r="AS34" s="1">
        <v>123.8</v>
      </c>
      <c r="AT34" s="11">
        <v>753700</v>
      </c>
    </row>
    <row r="35" spans="1:46" ht="15.75" thickBot="1">
      <c r="A35" s="99"/>
      <c r="C35" s="277" t="str">
        <f>"Comb. Carico: "</f>
        <v>Comb. Carico: </v>
      </c>
      <c r="D35" s="277" t="str">
        <f>T11&amp;"G+"&amp;T12&amp;"P+"&amp;T13&amp;"Q+"&amp;T14&amp;"q+"&amp;T15&amp;"p"</f>
        <v>1,3G+1,5P+1,5Q+1,5q+1,5p</v>
      </c>
      <c r="E35" s="107"/>
      <c r="F35" s="103"/>
      <c r="G35" s="99"/>
      <c r="H35" s="116"/>
      <c r="L35" s="133" t="s">
        <v>228</v>
      </c>
      <c r="N35" s="72" t="s">
        <v>163</v>
      </c>
      <c r="O35" s="87"/>
      <c r="P35" s="87"/>
      <c r="Q35" s="207">
        <v>500</v>
      </c>
      <c r="U35" s="128"/>
      <c r="AB35" s="10" t="s">
        <v>61</v>
      </c>
      <c r="AC35" s="1">
        <v>103</v>
      </c>
      <c r="AD35" s="1">
        <v>280</v>
      </c>
      <c r="AE35" s="1">
        <v>280</v>
      </c>
      <c r="AF35" s="1">
        <v>10.5</v>
      </c>
      <c r="AG35" s="1">
        <v>18</v>
      </c>
      <c r="AH35" s="1">
        <v>24</v>
      </c>
      <c r="AI35" s="34">
        <v>0</v>
      </c>
      <c r="AJ35" s="51">
        <v>131.4</v>
      </c>
      <c r="AK35" s="1">
        <v>19270</v>
      </c>
      <c r="AL35" s="52">
        <v>1376</v>
      </c>
      <c r="AM35" s="41">
        <v>1534</v>
      </c>
      <c r="AN35" s="1">
        <v>12.11</v>
      </c>
      <c r="AO35" s="1">
        <v>6595</v>
      </c>
      <c r="AP35" s="1">
        <v>471</v>
      </c>
      <c r="AQ35" s="1">
        <v>717.6</v>
      </c>
      <c r="AR35" s="1">
        <v>7.09</v>
      </c>
      <c r="AS35" s="1">
        <v>143.7</v>
      </c>
      <c r="AT35" s="11">
        <v>1130000</v>
      </c>
    </row>
    <row r="36" spans="1:46" ht="15" customHeight="1" thickBot="1">
      <c r="A36" s="99"/>
      <c r="B36" s="292" t="s">
        <v>5</v>
      </c>
      <c r="C36" s="292"/>
      <c r="D36" s="110">
        <f>IF(K34=0,D28/D29*$D$16^2+D30*$D$16/D31,K34)</f>
        <v>562.88</v>
      </c>
      <c r="E36" s="110">
        <f>IF(L34=0,E28/E29*$D$16^2+E30*$D$16/E31,L34)</f>
        <v>0</v>
      </c>
      <c r="F36" s="107" t="s">
        <v>7</v>
      </c>
      <c r="G36" s="103"/>
      <c r="H36" s="118"/>
      <c r="J36" s="104" t="s">
        <v>166</v>
      </c>
      <c r="N36" s="73" t="s">
        <v>164</v>
      </c>
      <c r="O36" s="88"/>
      <c r="P36" s="88"/>
      <c r="Q36" s="208">
        <v>400</v>
      </c>
      <c r="U36" s="128"/>
      <c r="AB36" s="10" t="s">
        <v>62</v>
      </c>
      <c r="AC36" s="1">
        <v>117</v>
      </c>
      <c r="AD36" s="1">
        <v>300</v>
      </c>
      <c r="AE36" s="1">
        <v>300</v>
      </c>
      <c r="AF36" s="1">
        <v>11</v>
      </c>
      <c r="AG36" s="1">
        <v>19</v>
      </c>
      <c r="AH36" s="1">
        <v>27</v>
      </c>
      <c r="AI36" s="34">
        <v>0</v>
      </c>
      <c r="AJ36" s="51">
        <v>149.1</v>
      </c>
      <c r="AK36" s="1">
        <v>25170</v>
      </c>
      <c r="AL36" s="52">
        <v>1678</v>
      </c>
      <c r="AM36" s="41">
        <v>1869</v>
      </c>
      <c r="AN36" s="1">
        <v>12.99</v>
      </c>
      <c r="AO36" s="1">
        <v>8563</v>
      </c>
      <c r="AP36" s="1">
        <v>570.9</v>
      </c>
      <c r="AQ36" s="1">
        <v>870.1</v>
      </c>
      <c r="AR36" s="1">
        <v>7.58</v>
      </c>
      <c r="AS36" s="1">
        <v>185</v>
      </c>
      <c r="AT36" s="11">
        <v>1688000</v>
      </c>
    </row>
    <row r="37" spans="1:46" ht="15" customHeight="1" thickBot="1">
      <c r="A37" s="99"/>
      <c r="B37" s="292" t="s">
        <v>128</v>
      </c>
      <c r="C37" s="292"/>
      <c r="D37" s="111">
        <f>D36*100/C14/IF(AND(AND($J$9&gt;3,$J$9&lt;8),$J$13=148),C15,1)</f>
        <v>1484.7797414930099</v>
      </c>
      <c r="E37" s="111">
        <f>E36*100/E14/IF(AND(AND($J$9&gt;3,$J$9&lt;8),$J$13=148),E15,1)</f>
        <v>0</v>
      </c>
      <c r="F37" s="107" t="s">
        <v>179</v>
      </c>
      <c r="G37" s="103"/>
      <c r="H37" s="118"/>
      <c r="J37" s="67"/>
      <c r="K37" s="68"/>
      <c r="L37" s="68"/>
      <c r="N37" s="73" t="s">
        <v>241</v>
      </c>
      <c r="O37" s="88"/>
      <c r="P37" s="88"/>
      <c r="Q37" s="208">
        <v>300</v>
      </c>
      <c r="U37" s="128"/>
      <c r="AB37" s="10" t="s">
        <v>63</v>
      </c>
      <c r="AC37" s="1">
        <v>127</v>
      </c>
      <c r="AD37" s="1">
        <v>320</v>
      </c>
      <c r="AE37" s="1">
        <v>300</v>
      </c>
      <c r="AF37" s="1">
        <v>11.5</v>
      </c>
      <c r="AG37" s="1">
        <v>20.5</v>
      </c>
      <c r="AH37" s="1">
        <v>27</v>
      </c>
      <c r="AI37" s="34">
        <v>0</v>
      </c>
      <c r="AJ37" s="51">
        <v>161.3</v>
      </c>
      <c r="AK37" s="1">
        <v>30820</v>
      </c>
      <c r="AL37" s="52">
        <v>1926</v>
      </c>
      <c r="AM37" s="41">
        <v>2149</v>
      </c>
      <c r="AN37" s="1">
        <v>13.82</v>
      </c>
      <c r="AO37" s="1">
        <v>9239</v>
      </c>
      <c r="AP37" s="1">
        <v>615.9</v>
      </c>
      <c r="AQ37" s="1">
        <v>939.1</v>
      </c>
      <c r="AR37" s="1">
        <v>7.57</v>
      </c>
      <c r="AS37" s="1">
        <v>225.1</v>
      </c>
      <c r="AT37" s="11">
        <v>2069000</v>
      </c>
    </row>
    <row r="38" spans="1:46" ht="15.75" thickBot="1">
      <c r="A38" s="99"/>
      <c r="B38" s="302" t="s">
        <v>333</v>
      </c>
      <c r="C38" s="302"/>
      <c r="D38" s="111">
        <f>D37+E37</f>
        <v>1484.7797414930099</v>
      </c>
      <c r="E38" s="107" t="s">
        <v>179</v>
      </c>
      <c r="F38" s="122" t="str">
        <f>IF(D38&lt;D9,INT(D38/D9*100+0.5)&amp;"%(VERIFICATO)","(NON VERIFICATO)")</f>
        <v>63%(VERIFICATO)</v>
      </c>
      <c r="G38" s="103"/>
      <c r="H38" s="118"/>
      <c r="J38" s="96">
        <v>4</v>
      </c>
      <c r="K38" s="7"/>
      <c r="L38" s="7"/>
      <c r="N38" s="75" t="s">
        <v>165</v>
      </c>
      <c r="O38" s="148"/>
      <c r="P38" s="148"/>
      <c r="Q38" s="208">
        <v>200</v>
      </c>
      <c r="U38" s="128"/>
      <c r="AB38" s="10" t="s">
        <v>64</v>
      </c>
      <c r="AC38" s="1">
        <v>134</v>
      </c>
      <c r="AD38" s="1">
        <v>340</v>
      </c>
      <c r="AE38" s="1">
        <v>300</v>
      </c>
      <c r="AF38" s="1">
        <v>12</v>
      </c>
      <c r="AG38" s="1">
        <v>21.5</v>
      </c>
      <c r="AH38" s="1">
        <v>27</v>
      </c>
      <c r="AI38" s="34">
        <v>0</v>
      </c>
      <c r="AJ38" s="51">
        <v>170.9</v>
      </c>
      <c r="AK38" s="1">
        <v>36660</v>
      </c>
      <c r="AL38" s="52">
        <v>2156</v>
      </c>
      <c r="AM38" s="41">
        <v>2408</v>
      </c>
      <c r="AN38" s="1">
        <v>14.65</v>
      </c>
      <c r="AO38" s="1">
        <v>9690</v>
      </c>
      <c r="AP38" s="1">
        <v>646</v>
      </c>
      <c r="AQ38" s="1">
        <v>985.7</v>
      </c>
      <c r="AR38" s="1">
        <v>7.53</v>
      </c>
      <c r="AS38" s="1">
        <v>257.2</v>
      </c>
      <c r="AT38" s="11">
        <v>2454000</v>
      </c>
    </row>
    <row r="39" spans="1:46" ht="15.75" thickBot="1">
      <c r="A39" s="99"/>
      <c r="B39" s="276"/>
      <c r="C39" s="276"/>
      <c r="D39" s="111"/>
      <c r="E39" s="107"/>
      <c r="F39" s="122"/>
      <c r="G39" s="103"/>
      <c r="H39" s="118"/>
      <c r="J39" s="248">
        <f>IF($J$38=6,"Inserire i dati a lato","")</f>
      </c>
      <c r="N39" s="81" t="s">
        <v>203</v>
      </c>
      <c r="O39" s="88"/>
      <c r="P39" s="88"/>
      <c r="Q39" s="209"/>
      <c r="U39" s="128"/>
      <c r="AB39" s="10" t="s">
        <v>65</v>
      </c>
      <c r="AC39" s="1">
        <v>142</v>
      </c>
      <c r="AD39" s="1">
        <v>360</v>
      </c>
      <c r="AE39" s="1">
        <v>300</v>
      </c>
      <c r="AF39" s="1">
        <v>12.5</v>
      </c>
      <c r="AG39" s="1">
        <v>22.5</v>
      </c>
      <c r="AH39" s="1">
        <v>27</v>
      </c>
      <c r="AI39" s="34">
        <v>0</v>
      </c>
      <c r="AJ39" s="51">
        <v>180.6</v>
      </c>
      <c r="AK39" s="1">
        <v>43190</v>
      </c>
      <c r="AL39" s="52">
        <v>2400</v>
      </c>
      <c r="AM39" s="41">
        <v>2683</v>
      </c>
      <c r="AN39" s="1">
        <v>15.46</v>
      </c>
      <c r="AO39" s="1">
        <v>10140</v>
      </c>
      <c r="AP39" s="1">
        <v>676.1</v>
      </c>
      <c r="AQ39" s="1">
        <v>1032</v>
      </c>
      <c r="AR39" s="1">
        <v>7.49</v>
      </c>
      <c r="AS39" s="1">
        <v>292.5</v>
      </c>
      <c r="AT39" s="11">
        <v>2883000</v>
      </c>
    </row>
    <row r="40" spans="1:46" ht="16.5" customHeight="1" thickBot="1">
      <c r="A40" s="99"/>
      <c r="B40" s="278" t="s">
        <v>348</v>
      </c>
      <c r="C40" s="278"/>
      <c r="D40" s="278"/>
      <c r="E40" s="278"/>
      <c r="G40" s="103"/>
      <c r="H40" s="118"/>
      <c r="J40" s="104" t="s">
        <v>361</v>
      </c>
      <c r="M40" s="249">
        <f>IF($J$38=6,"===&gt;&gt;","")</f>
      </c>
      <c r="N40" s="285" t="s">
        <v>240</v>
      </c>
      <c r="O40" s="286"/>
      <c r="P40" s="287"/>
      <c r="Q40" s="210">
        <v>200</v>
      </c>
      <c r="U40" s="128"/>
      <c r="AB40" s="10" t="s">
        <v>66</v>
      </c>
      <c r="AC40" s="1">
        <v>155</v>
      </c>
      <c r="AD40" s="1">
        <v>400</v>
      </c>
      <c r="AE40" s="1">
        <v>300</v>
      </c>
      <c r="AF40" s="1">
        <v>13.5</v>
      </c>
      <c r="AG40" s="1">
        <v>24</v>
      </c>
      <c r="AH40" s="1">
        <v>27</v>
      </c>
      <c r="AI40" s="34">
        <v>0</v>
      </c>
      <c r="AJ40" s="51">
        <v>197.8</v>
      </c>
      <c r="AK40" s="1">
        <v>57680</v>
      </c>
      <c r="AL40" s="52">
        <v>2884</v>
      </c>
      <c r="AM40" s="41">
        <v>3232</v>
      </c>
      <c r="AN40" s="1">
        <v>17.08</v>
      </c>
      <c r="AO40" s="1">
        <v>10820</v>
      </c>
      <c r="AP40" s="1">
        <v>721.3</v>
      </c>
      <c r="AQ40" s="1">
        <v>1104</v>
      </c>
      <c r="AR40" s="1">
        <v>7.4</v>
      </c>
      <c r="AS40" s="1">
        <v>355.7</v>
      </c>
      <c r="AT40" s="11">
        <v>3817000</v>
      </c>
    </row>
    <row r="41" spans="1:46" ht="19.5" customHeight="1">
      <c r="A41" s="99"/>
      <c r="B41" s="292" t="str">
        <f>"C.tot:"&amp;IF(J38=2,T19&amp;"Q+"&amp;T21&amp;"p",T17&amp;"G+"&amp;T18&amp;"P+"&amp;T19&amp;"Q+"&amp;T20&amp;"q+"&amp;T21&amp;"p")</f>
        <v>C.tot:1G+1P+1Q+1q+1p</v>
      </c>
      <c r="C41" s="292"/>
      <c r="D41" s="202">
        <f>((T18*D22+T19*D23)*D17+T17*D24+T20*D25)*(1+IF(D20="",0,D20))*COS(D18*3.1415/180)</f>
        <v>188.8</v>
      </c>
      <c r="E41" s="202">
        <f>((T18*D22+T19*D23)*D17+T17*D24+T20*D25)*(1+IF(D20="",0,D20))*SIN(D18*3.1415/180)</f>
        <v>0</v>
      </c>
      <c r="F41" s="107" t="s">
        <v>3</v>
      </c>
      <c r="G41" s="103"/>
      <c r="H41" s="116"/>
      <c r="J41" s="198" t="s">
        <v>230</v>
      </c>
      <c r="K41" s="199"/>
      <c r="L41" s="200">
        <f>D43*C13*(IF(J38=5,300,E45))/D16/100</f>
        <v>149.84126984126985</v>
      </c>
      <c r="M41" s="275">
        <f>INDEX(R24:R30,J21)</f>
        <v>0.020833333333333332</v>
      </c>
      <c r="U41" s="128"/>
      <c r="AB41" s="10" t="s">
        <v>67</v>
      </c>
      <c r="AC41" s="1">
        <v>171</v>
      </c>
      <c r="AD41" s="1">
        <v>450</v>
      </c>
      <c r="AE41" s="1">
        <v>300</v>
      </c>
      <c r="AF41" s="1">
        <v>14</v>
      </c>
      <c r="AG41" s="1">
        <v>26</v>
      </c>
      <c r="AH41" s="1">
        <v>27</v>
      </c>
      <c r="AI41" s="34">
        <v>0</v>
      </c>
      <c r="AJ41" s="51">
        <v>218</v>
      </c>
      <c r="AK41" s="1">
        <v>79890</v>
      </c>
      <c r="AL41" s="52">
        <v>3551</v>
      </c>
      <c r="AM41" s="41">
        <v>3982</v>
      </c>
      <c r="AN41" s="1">
        <v>19.14</v>
      </c>
      <c r="AO41" s="1">
        <v>11720</v>
      </c>
      <c r="AP41" s="1">
        <v>781.4</v>
      </c>
      <c r="AQ41" s="1">
        <v>1198</v>
      </c>
      <c r="AR41" s="1">
        <v>7.33</v>
      </c>
      <c r="AS41" s="1">
        <v>440.5</v>
      </c>
      <c r="AT41" s="11">
        <v>5258000</v>
      </c>
    </row>
    <row r="42" spans="1:46" ht="15">
      <c r="A42" s="99"/>
      <c r="B42" s="292" t="str">
        <f>"Carico concentrato "&amp;T21&amp;"p="</f>
        <v>Carico concentrato 1p=</v>
      </c>
      <c r="C42" s="292"/>
      <c r="D42" s="202">
        <f>$T$21*D26*COS(D18*3.1415/180)*(1+IF(D20="",0,D20))</f>
        <v>0</v>
      </c>
      <c r="E42" s="202">
        <f>$T$21*D26*SIN(D18*3.1415/180)*(1+IF(D20="",0,D20))</f>
        <v>0</v>
      </c>
      <c r="F42" s="107"/>
      <c r="G42" s="122"/>
      <c r="H42" s="128"/>
      <c r="J42" s="196" t="s">
        <v>231</v>
      </c>
      <c r="K42" s="197"/>
      <c r="L42" s="201">
        <f>D36*100/D9</f>
        <v>23.952340425531915</v>
      </c>
      <c r="M42" s="275">
        <f>INDEX(Q24:Q30,J21)</f>
        <v>0.013020833333333334</v>
      </c>
      <c r="U42" s="128"/>
      <c r="AB42" s="10" t="s">
        <v>68</v>
      </c>
      <c r="AC42" s="1">
        <v>187</v>
      </c>
      <c r="AD42" s="1">
        <v>500</v>
      </c>
      <c r="AE42" s="1">
        <v>300</v>
      </c>
      <c r="AF42" s="1">
        <v>14.5</v>
      </c>
      <c r="AG42" s="1">
        <v>28</v>
      </c>
      <c r="AH42" s="1">
        <v>27</v>
      </c>
      <c r="AI42" s="34">
        <v>0</v>
      </c>
      <c r="AJ42" s="51">
        <v>238.6</v>
      </c>
      <c r="AK42" s="1">
        <v>107200</v>
      </c>
      <c r="AL42" s="52">
        <v>4287</v>
      </c>
      <c r="AM42" s="41">
        <v>4815</v>
      </c>
      <c r="AN42" s="1">
        <v>21.19</v>
      </c>
      <c r="AO42" s="1">
        <v>12620</v>
      </c>
      <c r="AP42" s="1">
        <v>841.6</v>
      </c>
      <c r="AQ42" s="1">
        <v>1292</v>
      </c>
      <c r="AR42" s="1">
        <v>7.27</v>
      </c>
      <c r="AS42" s="1">
        <v>538.4</v>
      </c>
      <c r="AT42" s="11">
        <v>7018000</v>
      </c>
    </row>
    <row r="43" spans="2:46" ht="15">
      <c r="B43" s="302" t="s">
        <v>343</v>
      </c>
      <c r="C43" s="302"/>
      <c r="D43" s="273">
        <f>IF(J38=2,M41*D42*(D16*100)^3/D8/C13+M42*T19*D23*(COS(D18*3.1415/180))^2*(1+IF(D20="",0,D20))*D17/100*(D16*100)^4/D8/C13,INDEX(R24:R30,J21)*D42*(D16*100)^3/D8/C13+INDEX(Q24:Q30,J21)*D41/100*(D16*100)^4/D8/C13)</f>
        <v>1.317517540150091</v>
      </c>
      <c r="E43" s="273">
        <f>IF(J38=2,M41*E42*(D16*100)^3/D8/E13+M42*T13*D23*(SIN(D18*3.1415/180))^2*(1+IF(D20="",0,D20))*D17/100*(D16*100)^4/D8/E13,M41*E42*(D16*100)^3/D8/E13+M42*E41/100*(D16*100)^4/D8/E13)</f>
        <v>0</v>
      </c>
      <c r="F43" s="107" t="s">
        <v>130</v>
      </c>
      <c r="G43" s="99"/>
      <c r="H43" s="128"/>
      <c r="U43" s="128"/>
      <c r="AB43" s="10" t="s">
        <v>69</v>
      </c>
      <c r="AC43" s="1">
        <v>199</v>
      </c>
      <c r="AD43" s="1">
        <v>550</v>
      </c>
      <c r="AE43" s="1">
        <v>300</v>
      </c>
      <c r="AF43" s="1">
        <v>15</v>
      </c>
      <c r="AG43" s="1">
        <v>29</v>
      </c>
      <c r="AH43" s="1">
        <v>27</v>
      </c>
      <c r="AI43" s="34">
        <v>0</v>
      </c>
      <c r="AJ43" s="51">
        <v>254.1</v>
      </c>
      <c r="AK43" s="1">
        <v>136700</v>
      </c>
      <c r="AL43" s="52">
        <v>4971</v>
      </c>
      <c r="AM43" s="41">
        <v>5591</v>
      </c>
      <c r="AN43" s="1">
        <v>23.2</v>
      </c>
      <c r="AO43" s="1">
        <v>13080</v>
      </c>
      <c r="AP43" s="1">
        <v>871.8</v>
      </c>
      <c r="AQ43" s="1">
        <v>1341</v>
      </c>
      <c r="AR43" s="1">
        <v>7.17</v>
      </c>
      <c r="AS43" s="1">
        <v>600.3</v>
      </c>
      <c r="AT43" s="11">
        <v>8856000</v>
      </c>
    </row>
    <row r="44" spans="2:46" ht="15">
      <c r="B44" s="302" t="s">
        <v>344</v>
      </c>
      <c r="C44" s="302"/>
      <c r="D44" s="273">
        <f>(D43^2+E43^2)^0.5</f>
        <v>1.317517540150091</v>
      </c>
      <c r="E44" s="274"/>
      <c r="G44" s="99"/>
      <c r="H44" s="128"/>
      <c r="U44" s="128"/>
      <c r="AB44" s="10" t="s">
        <v>70</v>
      </c>
      <c r="AC44" s="1">
        <v>212</v>
      </c>
      <c r="AD44" s="1">
        <v>600</v>
      </c>
      <c r="AE44" s="1">
        <v>300</v>
      </c>
      <c r="AF44" s="1">
        <v>15.5</v>
      </c>
      <c r="AG44" s="1">
        <v>30</v>
      </c>
      <c r="AH44" s="1">
        <v>27</v>
      </c>
      <c r="AI44" s="34">
        <v>0</v>
      </c>
      <c r="AJ44" s="51">
        <v>270</v>
      </c>
      <c r="AK44" s="1">
        <v>171000</v>
      </c>
      <c r="AL44" s="52">
        <v>5701</v>
      </c>
      <c r="AM44" s="41">
        <v>6425</v>
      </c>
      <c r="AN44" s="1">
        <v>25.17</v>
      </c>
      <c r="AO44" s="1">
        <v>13530</v>
      </c>
      <c r="AP44" s="1">
        <v>902</v>
      </c>
      <c r="AQ44" s="1">
        <v>1391</v>
      </c>
      <c r="AR44" s="1">
        <v>7.08</v>
      </c>
      <c r="AS44" s="1">
        <v>667.2</v>
      </c>
      <c r="AT44" s="11">
        <v>10970000</v>
      </c>
    </row>
    <row r="45" spans="2:46" ht="15">
      <c r="B45" s="292" t="s">
        <v>129</v>
      </c>
      <c r="C45" s="292"/>
      <c r="D45" s="124">
        <f>D16*100/D44</f>
        <v>303.60127118644067</v>
      </c>
      <c r="E45" s="125">
        <f>IF(J38=5,"",INDEX(Q35:Q40,J38))</f>
        <v>200</v>
      </c>
      <c r="F45" s="122" t="str">
        <f>IF(J38=5,"",IF(D45&gt;E45,"(VERIFICATO)","(NON VERIFICATO)"))</f>
        <v>(VERIFICATO)</v>
      </c>
      <c r="H45" s="128"/>
      <c r="U45" s="128"/>
      <c r="AB45" s="10" t="s">
        <v>71</v>
      </c>
      <c r="AC45" s="1">
        <v>225</v>
      </c>
      <c r="AD45" s="1">
        <v>650</v>
      </c>
      <c r="AE45" s="1">
        <v>300</v>
      </c>
      <c r="AF45" s="1">
        <v>16</v>
      </c>
      <c r="AG45" s="1">
        <v>31</v>
      </c>
      <c r="AH45" s="1">
        <v>27</v>
      </c>
      <c r="AI45" s="34">
        <v>0</v>
      </c>
      <c r="AJ45" s="51">
        <v>286.3</v>
      </c>
      <c r="AK45" s="1">
        <v>210600</v>
      </c>
      <c r="AL45" s="52">
        <v>6480</v>
      </c>
      <c r="AM45" s="41">
        <v>7320</v>
      </c>
      <c r="AN45" s="1">
        <v>27.12</v>
      </c>
      <c r="AO45" s="1">
        <v>13980</v>
      </c>
      <c r="AP45" s="1">
        <v>932.3</v>
      </c>
      <c r="AQ45" s="1">
        <v>1441</v>
      </c>
      <c r="AR45" s="1">
        <v>6.99</v>
      </c>
      <c r="AS45" s="1">
        <v>739.2</v>
      </c>
      <c r="AT45" s="11">
        <v>13360000</v>
      </c>
    </row>
    <row r="46" spans="2:46" ht="15">
      <c r="B46" s="106"/>
      <c r="C46" s="106"/>
      <c r="D46" s="124"/>
      <c r="E46" s="125"/>
      <c r="F46" s="122"/>
      <c r="H46" s="128"/>
      <c r="U46" s="128"/>
      <c r="AB46" s="10" t="s">
        <v>72</v>
      </c>
      <c r="AC46" s="1">
        <v>241</v>
      </c>
      <c r="AD46" s="1">
        <v>700</v>
      </c>
      <c r="AE46" s="1">
        <v>300</v>
      </c>
      <c r="AF46" s="1">
        <v>17</v>
      </c>
      <c r="AG46" s="1">
        <v>32</v>
      </c>
      <c r="AH46" s="1">
        <v>27</v>
      </c>
      <c r="AI46" s="34">
        <v>0</v>
      </c>
      <c r="AJ46" s="51">
        <v>306.4</v>
      </c>
      <c r="AK46" s="1">
        <v>256900</v>
      </c>
      <c r="AL46" s="52">
        <v>7340</v>
      </c>
      <c r="AM46" s="41">
        <v>8327</v>
      </c>
      <c r="AN46" s="1">
        <v>28.96</v>
      </c>
      <c r="AO46" s="1">
        <v>14440</v>
      </c>
      <c r="AP46" s="1">
        <v>962.7</v>
      </c>
      <c r="AQ46" s="1">
        <v>1495</v>
      </c>
      <c r="AR46" s="1">
        <v>6.87</v>
      </c>
      <c r="AS46" s="1">
        <v>830.9</v>
      </c>
      <c r="AT46" s="11">
        <v>16060000</v>
      </c>
    </row>
    <row r="47" spans="1:46" ht="13.5" customHeight="1">
      <c r="A47" s="128"/>
      <c r="B47" s="128"/>
      <c r="C47" s="129"/>
      <c r="D47" s="128"/>
      <c r="E47" s="130"/>
      <c r="F47" s="128"/>
      <c r="G47" s="128"/>
      <c r="H47" s="128"/>
      <c r="I47" s="128"/>
      <c r="J47" s="128"/>
      <c r="K47" s="119"/>
      <c r="L47" s="128"/>
      <c r="M47" s="134"/>
      <c r="N47" s="119"/>
      <c r="O47" s="119"/>
      <c r="P47" s="119"/>
      <c r="Q47" s="119"/>
      <c r="R47" s="128"/>
      <c r="S47" s="128"/>
      <c r="T47" s="128"/>
      <c r="U47" s="128"/>
      <c r="AB47" s="10" t="s">
        <v>73</v>
      </c>
      <c r="AC47" s="1">
        <v>262</v>
      </c>
      <c r="AD47" s="1">
        <v>800</v>
      </c>
      <c r="AE47" s="1">
        <v>300</v>
      </c>
      <c r="AF47" s="1">
        <v>17.5</v>
      </c>
      <c r="AG47" s="1">
        <v>33</v>
      </c>
      <c r="AH47" s="1">
        <v>30</v>
      </c>
      <c r="AI47" s="34">
        <v>0</v>
      </c>
      <c r="AJ47" s="51">
        <v>334.2</v>
      </c>
      <c r="AK47" s="1">
        <v>359100</v>
      </c>
      <c r="AL47" s="52">
        <v>8977</v>
      </c>
      <c r="AM47" s="41">
        <v>10230</v>
      </c>
      <c r="AN47" s="1">
        <v>32.78</v>
      </c>
      <c r="AO47" s="1">
        <v>14900</v>
      </c>
      <c r="AP47" s="1">
        <v>993.6</v>
      </c>
      <c r="AQ47" s="1">
        <v>1553</v>
      </c>
      <c r="AR47" s="1">
        <v>6.68</v>
      </c>
      <c r="AS47" s="1">
        <v>946</v>
      </c>
      <c r="AT47" s="11">
        <v>21840000</v>
      </c>
    </row>
    <row r="48" spans="3:46" ht="15">
      <c r="C48" s="4" t="s">
        <v>229</v>
      </c>
      <c r="AB48" s="10" t="s">
        <v>74</v>
      </c>
      <c r="AC48" s="1">
        <v>291</v>
      </c>
      <c r="AD48" s="1">
        <v>900</v>
      </c>
      <c r="AE48" s="1">
        <v>300</v>
      </c>
      <c r="AF48" s="1">
        <v>18.5</v>
      </c>
      <c r="AG48" s="1">
        <v>35</v>
      </c>
      <c r="AH48" s="1">
        <v>30</v>
      </c>
      <c r="AI48" s="34">
        <v>0</v>
      </c>
      <c r="AJ48" s="51">
        <v>371.3</v>
      </c>
      <c r="AK48" s="1">
        <v>494100</v>
      </c>
      <c r="AL48" s="52">
        <v>10980</v>
      </c>
      <c r="AM48" s="41">
        <v>12580</v>
      </c>
      <c r="AN48" s="1">
        <v>36.48</v>
      </c>
      <c r="AO48" s="1">
        <v>15820</v>
      </c>
      <c r="AP48" s="1">
        <v>1054</v>
      </c>
      <c r="AQ48" s="1">
        <v>1658</v>
      </c>
      <c r="AR48" s="1">
        <v>6.53</v>
      </c>
      <c r="AS48" s="1">
        <v>1137</v>
      </c>
      <c r="AT48" s="11">
        <v>29460000</v>
      </c>
    </row>
    <row r="49" spans="5:46" ht="15.75" thickBot="1">
      <c r="E49" s="270" t="s">
        <v>337</v>
      </c>
      <c r="F49" s="3" t="s">
        <v>363</v>
      </c>
      <c r="AB49" s="21" t="s">
        <v>52</v>
      </c>
      <c r="AC49" s="22">
        <v>314</v>
      </c>
      <c r="AD49" s="22">
        <v>1000</v>
      </c>
      <c r="AE49" s="22">
        <v>300</v>
      </c>
      <c r="AF49" s="22">
        <v>19</v>
      </c>
      <c r="AG49" s="22">
        <v>36</v>
      </c>
      <c r="AH49" s="22">
        <v>30</v>
      </c>
      <c r="AI49" s="35">
        <v>0</v>
      </c>
      <c r="AJ49" s="53">
        <v>400</v>
      </c>
      <c r="AK49" s="22">
        <v>644700</v>
      </c>
      <c r="AL49" s="54">
        <v>12890</v>
      </c>
      <c r="AM49" s="42">
        <v>14860</v>
      </c>
      <c r="AN49" s="22">
        <v>40.15</v>
      </c>
      <c r="AO49" s="22">
        <v>16280</v>
      </c>
      <c r="AP49" s="22">
        <v>1085</v>
      </c>
      <c r="AQ49" s="22">
        <v>1716</v>
      </c>
      <c r="AR49" s="22">
        <v>6.38</v>
      </c>
      <c r="AS49" s="22">
        <v>1254</v>
      </c>
      <c r="AT49" s="23">
        <v>37640000</v>
      </c>
    </row>
    <row r="50" spans="28:46" ht="15.75" thickBot="1">
      <c r="AB50" s="10" t="s">
        <v>76</v>
      </c>
      <c r="AC50" s="1">
        <v>88.9</v>
      </c>
      <c r="AD50" s="1">
        <v>200</v>
      </c>
      <c r="AE50" s="1">
        <v>186</v>
      </c>
      <c r="AF50" s="1">
        <v>14.5</v>
      </c>
      <c r="AG50" s="1">
        <v>24</v>
      </c>
      <c r="AH50" s="1">
        <v>15</v>
      </c>
      <c r="AI50" s="34">
        <v>0</v>
      </c>
      <c r="AJ50" s="51">
        <v>113.3</v>
      </c>
      <c r="AK50" s="1">
        <v>7483</v>
      </c>
      <c r="AL50" s="52">
        <v>748.3</v>
      </c>
      <c r="AM50" s="41">
        <v>883.4</v>
      </c>
      <c r="AN50" s="1">
        <v>8.13</v>
      </c>
      <c r="AO50" s="1">
        <v>2580</v>
      </c>
      <c r="AP50" s="1">
        <v>277.4</v>
      </c>
      <c r="AQ50" s="1">
        <v>425.2</v>
      </c>
      <c r="AR50" s="1">
        <v>4.77</v>
      </c>
      <c r="AS50" s="1">
        <v>203.3</v>
      </c>
      <c r="AT50" s="11">
        <v>199300</v>
      </c>
    </row>
    <row r="51" spans="2:46" ht="15.75" thickBot="1">
      <c r="B51" s="305" t="s">
        <v>356</v>
      </c>
      <c r="C51" s="306"/>
      <c r="D51" s="306"/>
      <c r="E51" s="306"/>
      <c r="F51" s="306"/>
      <c r="G51" s="307"/>
      <c r="AB51" s="10" t="s">
        <v>77</v>
      </c>
      <c r="AC51" s="1">
        <v>103</v>
      </c>
      <c r="AD51" s="1">
        <v>220</v>
      </c>
      <c r="AE51" s="1">
        <v>206</v>
      </c>
      <c r="AF51" s="1">
        <v>15</v>
      </c>
      <c r="AG51" s="1">
        <v>25</v>
      </c>
      <c r="AH51" s="1">
        <v>18</v>
      </c>
      <c r="AI51" s="34">
        <v>0</v>
      </c>
      <c r="AJ51" s="51">
        <v>131.3</v>
      </c>
      <c r="AK51" s="1">
        <v>10640</v>
      </c>
      <c r="AL51" s="52">
        <v>967.4</v>
      </c>
      <c r="AM51" s="41">
        <v>1135</v>
      </c>
      <c r="AN51" s="1">
        <v>9</v>
      </c>
      <c r="AO51" s="1">
        <v>3651</v>
      </c>
      <c r="AP51" s="1">
        <v>354.5</v>
      </c>
      <c r="AQ51" s="1">
        <v>543.2</v>
      </c>
      <c r="AR51" s="1">
        <v>5.27</v>
      </c>
      <c r="AS51" s="1">
        <v>259.4</v>
      </c>
      <c r="AT51" s="11">
        <v>346300</v>
      </c>
    </row>
    <row r="52" spans="2:46" ht="15.75" thickBot="1">
      <c r="B52" s="308" t="s">
        <v>357</v>
      </c>
      <c r="C52" s="309"/>
      <c r="D52" s="309"/>
      <c r="E52" s="309"/>
      <c r="F52" s="309"/>
      <c r="G52" s="310"/>
      <c r="AB52" s="10" t="s">
        <v>78</v>
      </c>
      <c r="AC52" s="1">
        <v>117</v>
      </c>
      <c r="AD52" s="1">
        <v>240</v>
      </c>
      <c r="AE52" s="1">
        <v>226</v>
      </c>
      <c r="AF52" s="1">
        <v>15.5</v>
      </c>
      <c r="AG52" s="1">
        <v>26</v>
      </c>
      <c r="AH52" s="1">
        <v>18</v>
      </c>
      <c r="AI52" s="34">
        <v>0</v>
      </c>
      <c r="AJ52" s="51">
        <v>149.4</v>
      </c>
      <c r="AK52" s="1">
        <v>14600</v>
      </c>
      <c r="AL52" s="52">
        <v>1217</v>
      </c>
      <c r="AM52" s="41">
        <v>1419</v>
      </c>
      <c r="AN52" s="1">
        <v>9.89</v>
      </c>
      <c r="AO52" s="1">
        <v>5012</v>
      </c>
      <c r="AP52" s="1">
        <v>443.5</v>
      </c>
      <c r="AQ52" s="1">
        <v>678.6</v>
      </c>
      <c r="AR52" s="1">
        <v>5.79</v>
      </c>
      <c r="AS52" s="1">
        <v>315.3</v>
      </c>
      <c r="AT52" s="11">
        <v>572700</v>
      </c>
    </row>
    <row r="53" spans="2:46" ht="15.75" thickBot="1">
      <c r="B53" s="308" t="s">
        <v>358</v>
      </c>
      <c r="C53" s="309"/>
      <c r="D53" s="309"/>
      <c r="E53" s="309"/>
      <c r="F53" s="309"/>
      <c r="G53" s="310"/>
      <c r="AB53" s="10" t="s">
        <v>79</v>
      </c>
      <c r="AC53" s="1">
        <v>157</v>
      </c>
      <c r="AD53" s="1">
        <v>270</v>
      </c>
      <c r="AE53" s="1">
        <v>248</v>
      </c>
      <c r="AF53" s="1">
        <v>18</v>
      </c>
      <c r="AG53" s="1">
        <v>32</v>
      </c>
      <c r="AH53" s="1">
        <v>21</v>
      </c>
      <c r="AI53" s="34">
        <v>0</v>
      </c>
      <c r="AJ53" s="51">
        <v>199.6</v>
      </c>
      <c r="AK53" s="1">
        <v>24290</v>
      </c>
      <c r="AL53" s="52">
        <v>1799</v>
      </c>
      <c r="AM53" s="41">
        <v>2117</v>
      </c>
      <c r="AN53" s="1">
        <v>11.03</v>
      </c>
      <c r="AO53" s="1">
        <v>8153</v>
      </c>
      <c r="AP53" s="1">
        <v>657.5</v>
      </c>
      <c r="AQ53" s="1">
        <v>1006</v>
      </c>
      <c r="AR53" s="1">
        <v>6.39</v>
      </c>
      <c r="AS53" s="1">
        <v>627.9</v>
      </c>
      <c r="AT53" s="11">
        <v>1152000</v>
      </c>
    </row>
    <row r="54" spans="28:46" ht="15">
      <c r="AB54" s="10" t="s">
        <v>80</v>
      </c>
      <c r="AC54" s="1">
        <v>172</v>
      </c>
      <c r="AD54" s="1">
        <v>290</v>
      </c>
      <c r="AE54" s="1">
        <v>268</v>
      </c>
      <c r="AF54" s="1">
        <v>18</v>
      </c>
      <c r="AG54" s="1">
        <v>32.5</v>
      </c>
      <c r="AH54" s="1">
        <v>24</v>
      </c>
      <c r="AI54" s="34">
        <v>0</v>
      </c>
      <c r="AJ54" s="51">
        <v>219.6</v>
      </c>
      <c r="AK54" s="1">
        <v>31310</v>
      </c>
      <c r="AL54" s="52">
        <v>2159</v>
      </c>
      <c r="AM54" s="41">
        <v>2524</v>
      </c>
      <c r="AN54" s="1">
        <v>11.94</v>
      </c>
      <c r="AO54" s="1">
        <v>10450</v>
      </c>
      <c r="AP54" s="1">
        <v>779.7</v>
      </c>
      <c r="AQ54" s="1">
        <v>1192</v>
      </c>
      <c r="AR54" s="1">
        <v>6.9</v>
      </c>
      <c r="AS54" s="1">
        <v>719</v>
      </c>
      <c r="AT54" s="11">
        <v>1728000</v>
      </c>
    </row>
    <row r="55" spans="28:46" ht="15">
      <c r="AB55" s="10" t="s">
        <v>81</v>
      </c>
      <c r="AC55" s="1">
        <v>189</v>
      </c>
      <c r="AD55" s="1">
        <v>310</v>
      </c>
      <c r="AE55" s="1">
        <v>288</v>
      </c>
      <c r="AF55" s="1">
        <v>18.5</v>
      </c>
      <c r="AG55" s="1">
        <v>33</v>
      </c>
      <c r="AH55" s="1">
        <v>24</v>
      </c>
      <c r="AI55" s="34">
        <v>0</v>
      </c>
      <c r="AJ55" s="51">
        <v>240.2</v>
      </c>
      <c r="AK55" s="1">
        <v>39550</v>
      </c>
      <c r="AL55" s="52">
        <v>2551</v>
      </c>
      <c r="AM55" s="41">
        <v>2966</v>
      </c>
      <c r="AN55" s="1">
        <v>12.83</v>
      </c>
      <c r="AO55" s="1">
        <v>13160</v>
      </c>
      <c r="AP55" s="1">
        <v>914.1</v>
      </c>
      <c r="AQ55" s="1">
        <v>1397</v>
      </c>
      <c r="AR55" s="1">
        <v>7.4</v>
      </c>
      <c r="AS55" s="1">
        <v>807.3</v>
      </c>
      <c r="AT55" s="11">
        <v>2520000</v>
      </c>
    </row>
    <row r="56" spans="28:46" ht="15">
      <c r="AB56" s="10" t="s">
        <v>82</v>
      </c>
      <c r="AC56" s="1">
        <v>238</v>
      </c>
      <c r="AD56" s="1">
        <v>340</v>
      </c>
      <c r="AE56" s="1">
        <v>310</v>
      </c>
      <c r="AF56" s="1">
        <v>21</v>
      </c>
      <c r="AG56" s="1">
        <v>39</v>
      </c>
      <c r="AH56" s="1">
        <v>27</v>
      </c>
      <c r="AI56" s="34">
        <v>0</v>
      </c>
      <c r="AJ56" s="51">
        <v>303.1</v>
      </c>
      <c r="AK56" s="1">
        <v>59200</v>
      </c>
      <c r="AL56" s="52">
        <v>3482</v>
      </c>
      <c r="AM56" s="41">
        <v>4078</v>
      </c>
      <c r="AN56" s="1">
        <v>13.98</v>
      </c>
      <c r="AO56" s="1">
        <v>19400</v>
      </c>
      <c r="AP56" s="1">
        <v>1252</v>
      </c>
      <c r="AQ56" s="1">
        <v>1913</v>
      </c>
      <c r="AR56" s="1">
        <v>8</v>
      </c>
      <c r="AS56" s="1">
        <v>1408</v>
      </c>
      <c r="AT56" s="11">
        <v>4386000</v>
      </c>
    </row>
    <row r="57" spans="28:46" ht="15">
      <c r="AB57" s="10" t="s">
        <v>83</v>
      </c>
      <c r="AC57" s="1">
        <v>245</v>
      </c>
      <c r="AD57" s="1">
        <v>359</v>
      </c>
      <c r="AE57" s="1">
        <v>309</v>
      </c>
      <c r="AF57" s="1">
        <v>21</v>
      </c>
      <c r="AG57" s="1">
        <v>40</v>
      </c>
      <c r="AH57" s="1">
        <v>27</v>
      </c>
      <c r="AI57" s="34">
        <v>0</v>
      </c>
      <c r="AJ57" s="51">
        <v>312</v>
      </c>
      <c r="AK57" s="1">
        <v>68130</v>
      </c>
      <c r="AL57" s="52">
        <v>3796</v>
      </c>
      <c r="AM57" s="41">
        <v>4435</v>
      </c>
      <c r="AN57" s="1">
        <v>14.78</v>
      </c>
      <c r="AO57" s="1">
        <v>19710</v>
      </c>
      <c r="AP57" s="1">
        <v>1276</v>
      </c>
      <c r="AQ57" s="1">
        <v>1951</v>
      </c>
      <c r="AR57" s="1">
        <v>7.95</v>
      </c>
      <c r="AS57" s="1">
        <v>1501</v>
      </c>
      <c r="AT57" s="11">
        <v>5004000</v>
      </c>
    </row>
    <row r="58" spans="28:46" ht="15">
      <c r="AB58" s="10" t="s">
        <v>84</v>
      </c>
      <c r="AC58" s="1">
        <v>248</v>
      </c>
      <c r="AD58" s="1">
        <v>377</v>
      </c>
      <c r="AE58" s="1">
        <v>309</v>
      </c>
      <c r="AF58" s="1">
        <v>21</v>
      </c>
      <c r="AG58" s="1">
        <v>40</v>
      </c>
      <c r="AH58" s="1">
        <v>27</v>
      </c>
      <c r="AI58" s="34">
        <v>0</v>
      </c>
      <c r="AJ58" s="51">
        <v>315.8</v>
      </c>
      <c r="AK58" s="1">
        <v>76370</v>
      </c>
      <c r="AL58" s="52">
        <v>4052</v>
      </c>
      <c r="AM58" s="41">
        <v>4718</v>
      </c>
      <c r="AN58" s="1">
        <v>15.55</v>
      </c>
      <c r="AO58" s="1">
        <v>19710</v>
      </c>
      <c r="AP58" s="1">
        <v>1276</v>
      </c>
      <c r="AQ58" s="1">
        <v>1953</v>
      </c>
      <c r="AR58" s="1">
        <v>7.9</v>
      </c>
      <c r="AS58" s="1">
        <v>1506</v>
      </c>
      <c r="AT58" s="11">
        <v>5584000</v>
      </c>
    </row>
    <row r="59" spans="28:46" ht="15">
      <c r="AB59" s="10" t="s">
        <v>85</v>
      </c>
      <c r="AC59" s="1">
        <v>250</v>
      </c>
      <c r="AD59" s="1">
        <v>395</v>
      </c>
      <c r="AE59" s="1">
        <v>308</v>
      </c>
      <c r="AF59" s="1">
        <v>21</v>
      </c>
      <c r="AG59" s="1">
        <v>40</v>
      </c>
      <c r="AH59" s="1">
        <v>27</v>
      </c>
      <c r="AI59" s="34">
        <v>0</v>
      </c>
      <c r="AJ59" s="51">
        <v>318.8</v>
      </c>
      <c r="AK59" s="1">
        <v>84870</v>
      </c>
      <c r="AL59" s="52">
        <v>4297</v>
      </c>
      <c r="AM59" s="41">
        <v>4989</v>
      </c>
      <c r="AN59" s="1">
        <v>16.32</v>
      </c>
      <c r="AO59" s="1">
        <v>19520</v>
      </c>
      <c r="AP59" s="1">
        <v>1268</v>
      </c>
      <c r="AQ59" s="1">
        <v>1942</v>
      </c>
      <c r="AR59" s="1">
        <v>7.83</v>
      </c>
      <c r="AS59" s="1">
        <v>1507</v>
      </c>
      <c r="AT59" s="11">
        <v>6137000</v>
      </c>
    </row>
    <row r="60" spans="28:46" ht="15">
      <c r="AB60" s="10" t="s">
        <v>86</v>
      </c>
      <c r="AC60" s="1">
        <v>256</v>
      </c>
      <c r="AD60" s="1">
        <v>432</v>
      </c>
      <c r="AE60" s="1">
        <v>307</v>
      </c>
      <c r="AF60" s="1">
        <v>21</v>
      </c>
      <c r="AG60" s="1">
        <v>40</v>
      </c>
      <c r="AH60" s="1">
        <v>27</v>
      </c>
      <c r="AI60" s="34">
        <v>0</v>
      </c>
      <c r="AJ60" s="51">
        <v>325.8</v>
      </c>
      <c r="AK60" s="1">
        <v>104100</v>
      </c>
      <c r="AL60" s="52">
        <v>4820</v>
      </c>
      <c r="AM60" s="41">
        <v>5571</v>
      </c>
      <c r="AN60" s="1">
        <v>17.88</v>
      </c>
      <c r="AO60" s="1">
        <v>19340</v>
      </c>
      <c r="AP60" s="1">
        <v>1260</v>
      </c>
      <c r="AQ60" s="1">
        <v>1934</v>
      </c>
      <c r="AR60" s="1">
        <v>7.7</v>
      </c>
      <c r="AS60" s="1">
        <v>1515</v>
      </c>
      <c r="AT60" s="11">
        <v>7410000</v>
      </c>
    </row>
    <row r="61" spans="28:46" ht="15">
      <c r="AB61" s="10" t="s">
        <v>87</v>
      </c>
      <c r="AC61" s="1">
        <v>263</v>
      </c>
      <c r="AD61" s="1">
        <v>478</v>
      </c>
      <c r="AE61" s="1">
        <v>307</v>
      </c>
      <c r="AF61" s="1">
        <v>21</v>
      </c>
      <c r="AG61" s="1">
        <v>40</v>
      </c>
      <c r="AH61" s="1">
        <v>27</v>
      </c>
      <c r="AI61" s="34">
        <v>0</v>
      </c>
      <c r="AJ61" s="51">
        <v>335.4</v>
      </c>
      <c r="AK61" s="1">
        <v>131500</v>
      </c>
      <c r="AL61" s="52">
        <v>5501</v>
      </c>
      <c r="AM61" s="41">
        <v>6331</v>
      </c>
      <c r="AN61" s="1">
        <v>19.8</v>
      </c>
      <c r="AO61" s="1">
        <v>19340</v>
      </c>
      <c r="AP61" s="1">
        <v>1260</v>
      </c>
      <c r="AQ61" s="1">
        <v>1939</v>
      </c>
      <c r="AR61" s="1">
        <v>7.59</v>
      </c>
      <c r="AS61" s="1">
        <v>1529</v>
      </c>
      <c r="AT61" s="11">
        <v>9251000</v>
      </c>
    </row>
    <row r="62" spans="28:46" ht="15">
      <c r="AB62" s="10" t="s">
        <v>88</v>
      </c>
      <c r="AC62" s="1">
        <v>270</v>
      </c>
      <c r="AD62" s="1">
        <v>524</v>
      </c>
      <c r="AE62" s="1">
        <v>306</v>
      </c>
      <c r="AF62" s="1">
        <v>21</v>
      </c>
      <c r="AG62" s="1">
        <v>40</v>
      </c>
      <c r="AH62" s="1">
        <v>27</v>
      </c>
      <c r="AI62" s="34">
        <v>0</v>
      </c>
      <c r="AJ62" s="51">
        <v>344.3</v>
      </c>
      <c r="AK62" s="1">
        <v>161900</v>
      </c>
      <c r="AL62" s="52">
        <v>6180</v>
      </c>
      <c r="AM62" s="41">
        <v>7094</v>
      </c>
      <c r="AN62" s="1">
        <v>21.69</v>
      </c>
      <c r="AO62" s="1">
        <v>19150</v>
      </c>
      <c r="AP62" s="1">
        <v>1252</v>
      </c>
      <c r="AQ62" s="1">
        <v>1932</v>
      </c>
      <c r="AR62" s="1">
        <v>7.46</v>
      </c>
      <c r="AS62" s="1">
        <v>1539</v>
      </c>
      <c r="AT62" s="11">
        <v>11190000</v>
      </c>
    </row>
    <row r="63" spans="28:46" ht="15">
      <c r="AB63" s="10" t="s">
        <v>89</v>
      </c>
      <c r="AC63" s="1">
        <v>278</v>
      </c>
      <c r="AD63" s="1">
        <v>572</v>
      </c>
      <c r="AE63" s="1">
        <v>306</v>
      </c>
      <c r="AF63" s="1">
        <v>21</v>
      </c>
      <c r="AG63" s="1">
        <v>40</v>
      </c>
      <c r="AH63" s="1">
        <v>27</v>
      </c>
      <c r="AI63" s="34">
        <v>0</v>
      </c>
      <c r="AJ63" s="51">
        <v>354.4</v>
      </c>
      <c r="AK63" s="1">
        <v>198000</v>
      </c>
      <c r="AL63" s="52">
        <v>6923</v>
      </c>
      <c r="AM63" s="41">
        <v>7933</v>
      </c>
      <c r="AN63" s="1">
        <v>23.64</v>
      </c>
      <c r="AO63" s="1">
        <v>19160</v>
      </c>
      <c r="AP63" s="1">
        <v>1252</v>
      </c>
      <c r="AQ63" s="1">
        <v>1937</v>
      </c>
      <c r="AR63" s="1">
        <v>7.35</v>
      </c>
      <c r="AS63" s="1">
        <v>1554</v>
      </c>
      <c r="AT63" s="11">
        <v>13520000</v>
      </c>
    </row>
    <row r="64" spans="28:46" ht="15">
      <c r="AB64" s="10" t="s">
        <v>90</v>
      </c>
      <c r="AC64" s="1">
        <v>285</v>
      </c>
      <c r="AD64" s="1">
        <v>620</v>
      </c>
      <c r="AE64" s="1">
        <v>305</v>
      </c>
      <c r="AF64" s="1">
        <v>21</v>
      </c>
      <c r="AG64" s="1">
        <v>40</v>
      </c>
      <c r="AH64" s="1">
        <v>27</v>
      </c>
      <c r="AI64" s="34">
        <v>0</v>
      </c>
      <c r="AJ64" s="51">
        <v>363.7</v>
      </c>
      <c r="AK64" s="1">
        <v>237400</v>
      </c>
      <c r="AL64" s="52">
        <v>7660</v>
      </c>
      <c r="AM64" s="41">
        <v>8772</v>
      </c>
      <c r="AN64" s="1">
        <v>25.55</v>
      </c>
      <c r="AO64" s="1">
        <v>18980</v>
      </c>
      <c r="AP64" s="1">
        <v>1244</v>
      </c>
      <c r="AQ64" s="1">
        <v>1930</v>
      </c>
      <c r="AR64" s="1">
        <v>7.22</v>
      </c>
      <c r="AS64" s="1">
        <v>1564</v>
      </c>
      <c r="AT64" s="11">
        <v>15910000</v>
      </c>
    </row>
    <row r="65" spans="28:46" ht="15">
      <c r="AB65" s="10" t="s">
        <v>91</v>
      </c>
      <c r="AC65" s="1">
        <v>293</v>
      </c>
      <c r="AD65" s="1">
        <v>668</v>
      </c>
      <c r="AE65" s="1">
        <v>305</v>
      </c>
      <c r="AF65" s="1">
        <v>21</v>
      </c>
      <c r="AG65" s="1">
        <v>40</v>
      </c>
      <c r="AH65" s="1">
        <v>27</v>
      </c>
      <c r="AI65" s="34">
        <v>0</v>
      </c>
      <c r="AJ65" s="51">
        <v>373.7</v>
      </c>
      <c r="AK65" s="1">
        <v>281700</v>
      </c>
      <c r="AL65" s="52">
        <v>8433</v>
      </c>
      <c r="AM65" s="41">
        <v>9657</v>
      </c>
      <c r="AN65" s="1">
        <v>27.45</v>
      </c>
      <c r="AO65" s="1">
        <v>18980</v>
      </c>
      <c r="AP65" s="1">
        <v>1245</v>
      </c>
      <c r="AQ65" s="1">
        <v>1936</v>
      </c>
      <c r="AR65" s="1">
        <v>7.13</v>
      </c>
      <c r="AS65" s="1">
        <v>1579</v>
      </c>
      <c r="AT65" s="11">
        <v>18650000</v>
      </c>
    </row>
    <row r="66" spans="28:46" ht="15">
      <c r="AB66" s="10" t="s">
        <v>92</v>
      </c>
      <c r="AC66" s="1">
        <v>301</v>
      </c>
      <c r="AD66" s="1">
        <v>716</v>
      </c>
      <c r="AE66" s="1">
        <v>304</v>
      </c>
      <c r="AF66" s="1">
        <v>21</v>
      </c>
      <c r="AG66" s="1">
        <v>40</v>
      </c>
      <c r="AH66" s="1">
        <v>27</v>
      </c>
      <c r="AI66" s="34">
        <v>0</v>
      </c>
      <c r="AJ66" s="51">
        <v>383</v>
      </c>
      <c r="AK66" s="1">
        <v>329300</v>
      </c>
      <c r="AL66" s="52">
        <v>9198</v>
      </c>
      <c r="AM66" s="41">
        <v>10540</v>
      </c>
      <c r="AN66" s="1">
        <v>29.32</v>
      </c>
      <c r="AO66" s="1">
        <v>18800</v>
      </c>
      <c r="AP66" s="1">
        <v>1237</v>
      </c>
      <c r="AQ66" s="1">
        <v>1929</v>
      </c>
      <c r="AR66" s="1">
        <v>7.01</v>
      </c>
      <c r="AS66" s="1">
        <v>1589</v>
      </c>
      <c r="AT66" s="11">
        <v>21400000</v>
      </c>
    </row>
    <row r="67" spans="28:46" ht="15">
      <c r="AB67" s="10" t="s">
        <v>93</v>
      </c>
      <c r="AC67" s="1">
        <v>317</v>
      </c>
      <c r="AD67" s="1">
        <v>814</v>
      </c>
      <c r="AE67" s="1">
        <v>303</v>
      </c>
      <c r="AF67" s="1">
        <v>21</v>
      </c>
      <c r="AG67" s="1">
        <v>40</v>
      </c>
      <c r="AH67" s="1">
        <v>30</v>
      </c>
      <c r="AI67" s="34">
        <v>0</v>
      </c>
      <c r="AJ67" s="51">
        <v>404.3</v>
      </c>
      <c r="AK67" s="1">
        <v>442600</v>
      </c>
      <c r="AL67" s="52">
        <v>10870</v>
      </c>
      <c r="AM67" s="41">
        <v>12490</v>
      </c>
      <c r="AN67" s="1">
        <v>33.09</v>
      </c>
      <c r="AO67" s="1">
        <v>18630</v>
      </c>
      <c r="AP67" s="1">
        <v>1230</v>
      </c>
      <c r="AQ67" s="1">
        <v>1930</v>
      </c>
      <c r="AR67" s="1">
        <v>6.79</v>
      </c>
      <c r="AS67" s="1">
        <v>1646</v>
      </c>
      <c r="AT67" s="11">
        <v>27780000</v>
      </c>
    </row>
    <row r="68" spans="28:46" ht="15">
      <c r="AB68" s="10" t="s">
        <v>94</v>
      </c>
      <c r="AC68" s="1">
        <v>333</v>
      </c>
      <c r="AD68" s="1">
        <v>910</v>
      </c>
      <c r="AE68" s="1">
        <v>302</v>
      </c>
      <c r="AF68" s="1">
        <v>21</v>
      </c>
      <c r="AG68" s="1">
        <v>40</v>
      </c>
      <c r="AH68" s="1">
        <v>30</v>
      </c>
      <c r="AI68" s="34">
        <v>0</v>
      </c>
      <c r="AJ68" s="51">
        <v>423.6</v>
      </c>
      <c r="AK68" s="1">
        <v>570400</v>
      </c>
      <c r="AL68" s="52">
        <v>12540</v>
      </c>
      <c r="AM68" s="41">
        <v>14440</v>
      </c>
      <c r="AN68" s="1">
        <v>36.7</v>
      </c>
      <c r="AO68" s="1">
        <v>18450</v>
      </c>
      <c r="AP68" s="1">
        <v>1222</v>
      </c>
      <c r="AQ68" s="1">
        <v>1929</v>
      </c>
      <c r="AR68" s="1">
        <v>6.6</v>
      </c>
      <c r="AS68" s="1">
        <v>1671</v>
      </c>
      <c r="AT68" s="11">
        <v>34750000</v>
      </c>
    </row>
    <row r="69" spans="28:46" ht="15.75" thickBot="1">
      <c r="AB69" s="21" t="s">
        <v>75</v>
      </c>
      <c r="AC69" s="22">
        <v>349</v>
      </c>
      <c r="AD69" s="22">
        <v>1008</v>
      </c>
      <c r="AE69" s="22">
        <v>302</v>
      </c>
      <c r="AF69" s="22">
        <v>21</v>
      </c>
      <c r="AG69" s="22">
        <v>40</v>
      </c>
      <c r="AH69" s="22">
        <v>30</v>
      </c>
      <c r="AI69" s="35">
        <v>0</v>
      </c>
      <c r="AJ69" s="53">
        <v>444.2</v>
      </c>
      <c r="AK69" s="22">
        <v>722300</v>
      </c>
      <c r="AL69" s="54">
        <v>14330</v>
      </c>
      <c r="AM69" s="42">
        <v>16570</v>
      </c>
      <c r="AN69" s="22">
        <v>40.32</v>
      </c>
      <c r="AO69" s="22">
        <v>18460</v>
      </c>
      <c r="AP69" s="22">
        <v>1222</v>
      </c>
      <c r="AQ69" s="22">
        <v>1940</v>
      </c>
      <c r="AR69" s="22">
        <v>6.45</v>
      </c>
      <c r="AS69" s="22">
        <v>1701</v>
      </c>
      <c r="AT69" s="23">
        <v>43020000</v>
      </c>
    </row>
    <row r="70" spans="28:46" ht="15">
      <c r="AB70" s="18" t="s">
        <v>111</v>
      </c>
      <c r="AC70" s="24">
        <v>6</v>
      </c>
      <c r="AD70" s="19">
        <v>80</v>
      </c>
      <c r="AE70" s="19">
        <v>46</v>
      </c>
      <c r="AF70" s="24">
        <v>3.8</v>
      </c>
      <c r="AG70" s="24">
        <v>5.2</v>
      </c>
      <c r="AH70" s="24">
        <v>5</v>
      </c>
      <c r="AI70" s="36">
        <v>0</v>
      </c>
      <c r="AJ70" s="55">
        <v>7.64</v>
      </c>
      <c r="AK70" s="24">
        <v>80.14</v>
      </c>
      <c r="AL70" s="56">
        <v>20.03</v>
      </c>
      <c r="AM70" s="43">
        <v>23.22</v>
      </c>
      <c r="AN70" s="24">
        <v>3.24</v>
      </c>
      <c r="AO70" s="24">
        <v>8.49</v>
      </c>
      <c r="AP70" s="24">
        <v>3.69</v>
      </c>
      <c r="AQ70" s="24">
        <v>5.82</v>
      </c>
      <c r="AR70" s="24">
        <v>1.05</v>
      </c>
      <c r="AS70" s="24">
        <v>0.7</v>
      </c>
      <c r="AT70" s="25">
        <v>120</v>
      </c>
    </row>
    <row r="71" spans="28:46" ht="15">
      <c r="AB71" s="10" t="s">
        <v>95</v>
      </c>
      <c r="AC71" s="2">
        <v>8.1</v>
      </c>
      <c r="AD71" s="1">
        <v>100</v>
      </c>
      <c r="AE71" s="1">
        <v>55</v>
      </c>
      <c r="AF71" s="2">
        <v>4.1</v>
      </c>
      <c r="AG71" s="2">
        <v>5.7</v>
      </c>
      <c r="AH71" s="2">
        <v>7</v>
      </c>
      <c r="AI71" s="37">
        <v>0</v>
      </c>
      <c r="AJ71" s="57">
        <v>10.32</v>
      </c>
      <c r="AK71" s="2">
        <v>171</v>
      </c>
      <c r="AL71" s="58">
        <v>34.2</v>
      </c>
      <c r="AM71" s="44">
        <v>39.41</v>
      </c>
      <c r="AN71" s="2">
        <v>4.07</v>
      </c>
      <c r="AO71" s="2">
        <v>15.92</v>
      </c>
      <c r="AP71" s="2">
        <v>5.79</v>
      </c>
      <c r="AQ71" s="2">
        <v>9.15</v>
      </c>
      <c r="AR71" s="2">
        <v>1.24</v>
      </c>
      <c r="AS71" s="2">
        <v>1.2</v>
      </c>
      <c r="AT71" s="12">
        <v>350</v>
      </c>
    </row>
    <row r="72" spans="28:46" ht="15">
      <c r="AB72" s="10" t="s">
        <v>96</v>
      </c>
      <c r="AC72" s="2">
        <v>10.4</v>
      </c>
      <c r="AD72" s="1">
        <v>120</v>
      </c>
      <c r="AE72" s="1">
        <v>64</v>
      </c>
      <c r="AF72" s="2">
        <v>4.4</v>
      </c>
      <c r="AG72" s="2">
        <v>6.3</v>
      </c>
      <c r="AH72" s="2">
        <v>7</v>
      </c>
      <c r="AI72" s="37">
        <v>0</v>
      </c>
      <c r="AJ72" s="57">
        <v>13.21</v>
      </c>
      <c r="AK72" s="2">
        <v>317.8</v>
      </c>
      <c r="AL72" s="58">
        <v>52.96</v>
      </c>
      <c r="AM72" s="44">
        <v>60.73</v>
      </c>
      <c r="AN72" s="2">
        <v>4.9</v>
      </c>
      <c r="AO72" s="2">
        <v>27.67</v>
      </c>
      <c r="AP72" s="2">
        <v>8.65</v>
      </c>
      <c r="AQ72" s="2">
        <v>13.58</v>
      </c>
      <c r="AR72" s="2">
        <v>1.45</v>
      </c>
      <c r="AS72" s="2">
        <v>1.74</v>
      </c>
      <c r="AT72" s="12">
        <v>890</v>
      </c>
    </row>
    <row r="73" spans="28:46" ht="15">
      <c r="AB73" s="10" t="s">
        <v>97</v>
      </c>
      <c r="AC73" s="2">
        <v>12.9</v>
      </c>
      <c r="AD73" s="1">
        <v>140</v>
      </c>
      <c r="AE73" s="1">
        <v>73</v>
      </c>
      <c r="AF73" s="2">
        <v>4.7</v>
      </c>
      <c r="AG73" s="2">
        <v>6.9</v>
      </c>
      <c r="AH73" s="2">
        <v>7</v>
      </c>
      <c r="AI73" s="37">
        <v>0</v>
      </c>
      <c r="AJ73" s="57">
        <v>16.43</v>
      </c>
      <c r="AK73" s="2">
        <v>541.2</v>
      </c>
      <c r="AL73" s="58">
        <v>77.32</v>
      </c>
      <c r="AM73" s="44">
        <v>88.34</v>
      </c>
      <c r="AN73" s="2">
        <v>5.74</v>
      </c>
      <c r="AO73" s="2">
        <v>44.92</v>
      </c>
      <c r="AP73" s="2">
        <v>12.31</v>
      </c>
      <c r="AQ73" s="2">
        <v>19.25</v>
      </c>
      <c r="AR73" s="2">
        <v>1.65</v>
      </c>
      <c r="AS73" s="2">
        <v>2.45</v>
      </c>
      <c r="AT73" s="12">
        <v>1980</v>
      </c>
    </row>
    <row r="74" spans="28:46" ht="15">
      <c r="AB74" s="10" t="s">
        <v>0</v>
      </c>
      <c r="AC74" s="2">
        <v>15.8</v>
      </c>
      <c r="AD74" s="1">
        <v>160</v>
      </c>
      <c r="AE74" s="1">
        <v>82</v>
      </c>
      <c r="AF74" s="2">
        <v>5</v>
      </c>
      <c r="AG74" s="2">
        <v>7.4</v>
      </c>
      <c r="AH74" s="2">
        <v>9</v>
      </c>
      <c r="AI74" s="37">
        <v>0</v>
      </c>
      <c r="AJ74" s="57">
        <v>20.09</v>
      </c>
      <c r="AK74" s="2">
        <v>869.3</v>
      </c>
      <c r="AL74" s="58">
        <v>108.7</v>
      </c>
      <c r="AM74" s="44">
        <v>123.9</v>
      </c>
      <c r="AN74" s="2">
        <v>6.58</v>
      </c>
      <c r="AO74" s="2">
        <v>68.31</v>
      </c>
      <c r="AP74" s="2">
        <v>16.66</v>
      </c>
      <c r="AQ74" s="2">
        <v>26.1</v>
      </c>
      <c r="AR74" s="2">
        <v>1.84</v>
      </c>
      <c r="AS74" s="2">
        <v>3.6</v>
      </c>
      <c r="AT74" s="12">
        <v>3960</v>
      </c>
    </row>
    <row r="75" spans="28:46" ht="15">
      <c r="AB75" s="10" t="s">
        <v>98</v>
      </c>
      <c r="AC75" s="2">
        <v>18.8</v>
      </c>
      <c r="AD75" s="1">
        <v>180</v>
      </c>
      <c r="AE75" s="1">
        <v>91</v>
      </c>
      <c r="AF75" s="2">
        <v>5.3</v>
      </c>
      <c r="AG75" s="2">
        <v>8</v>
      </c>
      <c r="AH75" s="2">
        <v>9</v>
      </c>
      <c r="AI75" s="37">
        <v>0</v>
      </c>
      <c r="AJ75" s="57">
        <v>23.95</v>
      </c>
      <c r="AK75" s="2">
        <v>1317</v>
      </c>
      <c r="AL75" s="58">
        <v>146.3</v>
      </c>
      <c r="AM75" s="44">
        <v>166.4</v>
      </c>
      <c r="AN75" s="2">
        <v>7.42</v>
      </c>
      <c r="AO75" s="2">
        <v>100.9</v>
      </c>
      <c r="AP75" s="2">
        <v>22.16</v>
      </c>
      <c r="AQ75" s="2">
        <v>34.6</v>
      </c>
      <c r="AR75" s="2">
        <v>2.05</v>
      </c>
      <c r="AS75" s="2">
        <v>4.79</v>
      </c>
      <c r="AT75" s="12">
        <v>7430</v>
      </c>
    </row>
    <row r="76" spans="28:46" ht="15">
      <c r="AB76" s="10" t="s">
        <v>99</v>
      </c>
      <c r="AC76" s="2">
        <v>22.4</v>
      </c>
      <c r="AD76" s="1">
        <v>200</v>
      </c>
      <c r="AE76" s="1">
        <v>100</v>
      </c>
      <c r="AF76" s="2">
        <v>5.6</v>
      </c>
      <c r="AG76" s="2">
        <v>8.5</v>
      </c>
      <c r="AH76" s="2">
        <v>12</v>
      </c>
      <c r="AI76" s="37">
        <v>0</v>
      </c>
      <c r="AJ76" s="57">
        <v>28.48</v>
      </c>
      <c r="AK76" s="2">
        <v>1943</v>
      </c>
      <c r="AL76" s="58">
        <v>194.3</v>
      </c>
      <c r="AM76" s="44">
        <v>220.6</v>
      </c>
      <c r="AN76" s="2">
        <v>8.26</v>
      </c>
      <c r="AO76" s="2">
        <v>142.4</v>
      </c>
      <c r="AP76" s="2">
        <v>28.47</v>
      </c>
      <c r="AQ76" s="2">
        <v>44.61</v>
      </c>
      <c r="AR76" s="2">
        <v>2.24</v>
      </c>
      <c r="AS76" s="2">
        <v>6.98</v>
      </c>
      <c r="AT76" s="12">
        <v>12990</v>
      </c>
    </row>
    <row r="77" spans="28:46" ht="15">
      <c r="AB77" s="10" t="s">
        <v>100</v>
      </c>
      <c r="AC77" s="2">
        <v>26.2</v>
      </c>
      <c r="AD77" s="1">
        <v>220</v>
      </c>
      <c r="AE77" s="1">
        <v>110</v>
      </c>
      <c r="AF77" s="2">
        <v>5.9</v>
      </c>
      <c r="AG77" s="2">
        <v>9.2</v>
      </c>
      <c r="AH77" s="2">
        <v>12</v>
      </c>
      <c r="AI77" s="37">
        <v>0</v>
      </c>
      <c r="AJ77" s="57">
        <v>33.37</v>
      </c>
      <c r="AK77" s="2">
        <v>2772</v>
      </c>
      <c r="AL77" s="58">
        <v>252</v>
      </c>
      <c r="AM77" s="44">
        <v>285.4</v>
      </c>
      <c r="AN77" s="2">
        <v>9.11</v>
      </c>
      <c r="AO77" s="2">
        <v>204.9</v>
      </c>
      <c r="AP77" s="2">
        <v>37.25</v>
      </c>
      <c r="AQ77" s="2">
        <v>58.11</v>
      </c>
      <c r="AR77" s="2">
        <v>2.48</v>
      </c>
      <c r="AS77" s="2">
        <v>9.07</v>
      </c>
      <c r="AT77" s="12">
        <v>22670</v>
      </c>
    </row>
    <row r="78" spans="28:46" ht="15">
      <c r="AB78" s="10" t="s">
        <v>101</v>
      </c>
      <c r="AC78" s="2">
        <v>30.7</v>
      </c>
      <c r="AD78" s="1">
        <v>240</v>
      </c>
      <c r="AE78" s="1">
        <v>120</v>
      </c>
      <c r="AF78" s="2">
        <v>6.2</v>
      </c>
      <c r="AG78" s="2">
        <v>9.8</v>
      </c>
      <c r="AH78" s="2">
        <v>15</v>
      </c>
      <c r="AI78" s="37">
        <v>0</v>
      </c>
      <c r="AJ78" s="57">
        <v>39.12</v>
      </c>
      <c r="AK78" s="2">
        <v>3892</v>
      </c>
      <c r="AL78" s="58">
        <v>324.3</v>
      </c>
      <c r="AM78" s="44">
        <v>366.6</v>
      </c>
      <c r="AN78" s="2">
        <v>9.97</v>
      </c>
      <c r="AO78" s="2">
        <v>283.6</v>
      </c>
      <c r="AP78" s="2">
        <v>47.27</v>
      </c>
      <c r="AQ78" s="2">
        <v>73.92</v>
      </c>
      <c r="AR78" s="2">
        <v>2.69</v>
      </c>
      <c r="AS78" s="2">
        <v>12.88</v>
      </c>
      <c r="AT78" s="12">
        <v>37390</v>
      </c>
    </row>
    <row r="79" spans="28:46" ht="15">
      <c r="AB79" s="10" t="s">
        <v>102</v>
      </c>
      <c r="AC79" s="2">
        <v>36.1</v>
      </c>
      <c r="AD79" s="1">
        <v>270</v>
      </c>
      <c r="AE79" s="1">
        <v>135</v>
      </c>
      <c r="AF79" s="2">
        <v>6.6</v>
      </c>
      <c r="AG79" s="2">
        <v>10.2</v>
      </c>
      <c r="AH79" s="2">
        <v>15</v>
      </c>
      <c r="AI79" s="37">
        <v>0</v>
      </c>
      <c r="AJ79" s="57">
        <v>45.94</v>
      </c>
      <c r="AK79" s="2">
        <v>5790</v>
      </c>
      <c r="AL79" s="58">
        <v>428.9</v>
      </c>
      <c r="AM79" s="44">
        <v>484</v>
      </c>
      <c r="AN79" s="2">
        <v>11.23</v>
      </c>
      <c r="AO79" s="2">
        <v>419.9</v>
      </c>
      <c r="AP79" s="2">
        <v>62.2</v>
      </c>
      <c r="AQ79" s="2">
        <v>96.95</v>
      </c>
      <c r="AR79" s="2">
        <v>3.02</v>
      </c>
      <c r="AS79" s="2">
        <v>15.94</v>
      </c>
      <c r="AT79" s="12">
        <v>70580</v>
      </c>
    </row>
    <row r="80" spans="28:46" ht="15">
      <c r="AB80" s="10" t="s">
        <v>103</v>
      </c>
      <c r="AC80" s="2">
        <v>42.2</v>
      </c>
      <c r="AD80" s="1">
        <v>300</v>
      </c>
      <c r="AE80" s="1">
        <v>150</v>
      </c>
      <c r="AF80" s="2">
        <v>7.1</v>
      </c>
      <c r="AG80" s="2">
        <v>10.7</v>
      </c>
      <c r="AH80" s="2">
        <v>15</v>
      </c>
      <c r="AI80" s="37">
        <v>0</v>
      </c>
      <c r="AJ80" s="57">
        <v>53.81</v>
      </c>
      <c r="AK80" s="2">
        <v>8356</v>
      </c>
      <c r="AL80" s="58">
        <v>557.1</v>
      </c>
      <c r="AM80" s="44">
        <v>628.4</v>
      </c>
      <c r="AN80" s="2">
        <v>12.46</v>
      </c>
      <c r="AO80" s="2">
        <v>603.8</v>
      </c>
      <c r="AP80" s="2">
        <v>80.5</v>
      </c>
      <c r="AQ80" s="2">
        <v>125.2</v>
      </c>
      <c r="AR80" s="2">
        <v>3.35</v>
      </c>
      <c r="AS80" s="2">
        <v>20.12</v>
      </c>
      <c r="AT80" s="12">
        <v>125900</v>
      </c>
    </row>
    <row r="81" spans="28:46" ht="15">
      <c r="AB81" s="10" t="s">
        <v>104</v>
      </c>
      <c r="AC81" s="2">
        <v>49.1</v>
      </c>
      <c r="AD81" s="1">
        <v>330</v>
      </c>
      <c r="AE81" s="1">
        <v>160</v>
      </c>
      <c r="AF81" s="2">
        <v>7.5</v>
      </c>
      <c r="AG81" s="2">
        <v>11.5</v>
      </c>
      <c r="AH81" s="2">
        <v>18</v>
      </c>
      <c r="AI81" s="37">
        <v>0</v>
      </c>
      <c r="AJ81" s="57">
        <v>62.61</v>
      </c>
      <c r="AK81" s="2">
        <v>11770</v>
      </c>
      <c r="AL81" s="58">
        <v>713.1</v>
      </c>
      <c r="AM81" s="44">
        <v>804.3</v>
      </c>
      <c r="AN81" s="2">
        <v>13.71</v>
      </c>
      <c r="AO81" s="2">
        <v>788.1</v>
      </c>
      <c r="AP81" s="2">
        <v>98.52</v>
      </c>
      <c r="AQ81" s="2">
        <v>153.7</v>
      </c>
      <c r="AR81" s="2">
        <v>3.55</v>
      </c>
      <c r="AS81" s="2">
        <v>28.15</v>
      </c>
      <c r="AT81" s="12">
        <v>199100</v>
      </c>
    </row>
    <row r="82" spans="28:46" ht="15">
      <c r="AB82" s="10" t="s">
        <v>105</v>
      </c>
      <c r="AC82" s="2">
        <v>57.1</v>
      </c>
      <c r="AD82" s="1">
        <v>360</v>
      </c>
      <c r="AE82" s="1">
        <v>170</v>
      </c>
      <c r="AF82" s="2">
        <v>8</v>
      </c>
      <c r="AG82" s="2">
        <v>12.7</v>
      </c>
      <c r="AH82" s="2">
        <v>18</v>
      </c>
      <c r="AI82" s="37">
        <v>0</v>
      </c>
      <c r="AJ82" s="57">
        <v>72.73</v>
      </c>
      <c r="AK82" s="2">
        <v>16270</v>
      </c>
      <c r="AL82" s="58">
        <v>903.6</v>
      </c>
      <c r="AM82" s="44">
        <v>1019</v>
      </c>
      <c r="AN82" s="2">
        <v>14.95</v>
      </c>
      <c r="AO82" s="2">
        <v>1043</v>
      </c>
      <c r="AP82" s="2">
        <v>122.8</v>
      </c>
      <c r="AQ82" s="2">
        <v>191.1</v>
      </c>
      <c r="AR82" s="2">
        <v>3.79</v>
      </c>
      <c r="AS82" s="2">
        <v>37.32</v>
      </c>
      <c r="AT82" s="12">
        <v>313600</v>
      </c>
    </row>
    <row r="83" spans="28:46" ht="15">
      <c r="AB83" s="10" t="s">
        <v>106</v>
      </c>
      <c r="AC83" s="2">
        <v>66.3</v>
      </c>
      <c r="AD83" s="1">
        <v>400</v>
      </c>
      <c r="AE83" s="1">
        <v>180</v>
      </c>
      <c r="AF83" s="2">
        <v>8.6</v>
      </c>
      <c r="AG83" s="2">
        <v>13.5</v>
      </c>
      <c r="AH83" s="2">
        <v>21</v>
      </c>
      <c r="AI83" s="37">
        <v>0</v>
      </c>
      <c r="AJ83" s="57">
        <v>84.46</v>
      </c>
      <c r="AK83" s="2">
        <v>23130</v>
      </c>
      <c r="AL83" s="58">
        <v>1156</v>
      </c>
      <c r="AM83" s="44">
        <v>1307</v>
      </c>
      <c r="AN83" s="2">
        <v>16.55</v>
      </c>
      <c r="AO83" s="2">
        <v>1318</v>
      </c>
      <c r="AP83" s="2">
        <v>146.4</v>
      </c>
      <c r="AQ83" s="2">
        <v>229</v>
      </c>
      <c r="AR83" s="2">
        <v>3.95</v>
      </c>
      <c r="AS83" s="2">
        <v>51.08</v>
      </c>
      <c r="AT83" s="12">
        <v>490000</v>
      </c>
    </row>
    <row r="84" spans="28:46" ht="15">
      <c r="AB84" s="10" t="s">
        <v>107</v>
      </c>
      <c r="AC84" s="2">
        <v>77.6</v>
      </c>
      <c r="AD84" s="1">
        <v>450</v>
      </c>
      <c r="AE84" s="1">
        <v>190</v>
      </c>
      <c r="AF84" s="2">
        <v>9.4</v>
      </c>
      <c r="AG84" s="2">
        <v>14.6</v>
      </c>
      <c r="AH84" s="2">
        <v>21</v>
      </c>
      <c r="AI84" s="37">
        <v>0</v>
      </c>
      <c r="AJ84" s="57">
        <v>98.82</v>
      </c>
      <c r="AK84" s="2">
        <v>33740</v>
      </c>
      <c r="AL84" s="58">
        <v>1500</v>
      </c>
      <c r="AM84" s="44">
        <v>1702</v>
      </c>
      <c r="AN84" s="2">
        <v>18.48</v>
      </c>
      <c r="AO84" s="2">
        <v>1676</v>
      </c>
      <c r="AP84" s="2">
        <v>176.4</v>
      </c>
      <c r="AQ84" s="2">
        <v>276.4</v>
      </c>
      <c r="AR84" s="2">
        <v>4.12</v>
      </c>
      <c r="AS84" s="2">
        <v>66.87</v>
      </c>
      <c r="AT84" s="12">
        <v>791000</v>
      </c>
    </row>
    <row r="85" spans="28:46" ht="15">
      <c r="AB85" s="10" t="s">
        <v>108</v>
      </c>
      <c r="AC85" s="2">
        <v>90.7</v>
      </c>
      <c r="AD85" s="1">
        <v>500</v>
      </c>
      <c r="AE85" s="1">
        <v>200</v>
      </c>
      <c r="AF85" s="2">
        <v>10.2</v>
      </c>
      <c r="AG85" s="2">
        <v>16</v>
      </c>
      <c r="AH85" s="2">
        <v>21</v>
      </c>
      <c r="AI85" s="37">
        <v>0</v>
      </c>
      <c r="AJ85" s="57">
        <v>115.5</v>
      </c>
      <c r="AK85" s="2">
        <v>48200</v>
      </c>
      <c r="AL85" s="58">
        <v>1928</v>
      </c>
      <c r="AM85" s="44">
        <v>2194</v>
      </c>
      <c r="AN85" s="2">
        <v>20.43</v>
      </c>
      <c r="AO85" s="2">
        <v>2142</v>
      </c>
      <c r="AP85" s="2">
        <v>214.2</v>
      </c>
      <c r="AQ85" s="2">
        <v>335.9</v>
      </c>
      <c r="AR85" s="2">
        <v>4.31</v>
      </c>
      <c r="AS85" s="2">
        <v>89.29</v>
      </c>
      <c r="AT85" s="12">
        <v>1249000</v>
      </c>
    </row>
    <row r="86" spans="28:46" ht="15">
      <c r="AB86" s="10" t="s">
        <v>109</v>
      </c>
      <c r="AC86" s="2">
        <v>106</v>
      </c>
      <c r="AD86" s="1">
        <v>550</v>
      </c>
      <c r="AE86" s="1">
        <v>210</v>
      </c>
      <c r="AF86" s="2">
        <v>11.1</v>
      </c>
      <c r="AG86" s="2">
        <v>17.2</v>
      </c>
      <c r="AH86" s="2">
        <v>24</v>
      </c>
      <c r="AI86" s="37">
        <v>0</v>
      </c>
      <c r="AJ86" s="57">
        <v>134.4</v>
      </c>
      <c r="AK86" s="2">
        <v>67120</v>
      </c>
      <c r="AL86" s="58">
        <v>2441</v>
      </c>
      <c r="AM86" s="44">
        <v>2787</v>
      </c>
      <c r="AN86" s="2">
        <v>22.35</v>
      </c>
      <c r="AO86" s="2">
        <v>2668</v>
      </c>
      <c r="AP86" s="2">
        <v>254.1</v>
      </c>
      <c r="AQ86" s="2">
        <v>400.5</v>
      </c>
      <c r="AR86" s="2">
        <v>4.45</v>
      </c>
      <c r="AS86" s="2">
        <v>123.2</v>
      </c>
      <c r="AT86" s="12">
        <v>1884000</v>
      </c>
    </row>
    <row r="87" spans="28:46" ht="15.75" thickBot="1">
      <c r="AB87" s="21" t="s">
        <v>110</v>
      </c>
      <c r="AC87" s="26">
        <v>122</v>
      </c>
      <c r="AD87" s="22">
        <v>600</v>
      </c>
      <c r="AE87" s="22">
        <v>220</v>
      </c>
      <c r="AF87" s="26">
        <v>12</v>
      </c>
      <c r="AG87" s="26">
        <v>19</v>
      </c>
      <c r="AH87" s="26">
        <v>24</v>
      </c>
      <c r="AI87" s="38">
        <v>0</v>
      </c>
      <c r="AJ87" s="59">
        <v>156</v>
      </c>
      <c r="AK87" s="26">
        <v>92080</v>
      </c>
      <c r="AL87" s="60">
        <v>3069</v>
      </c>
      <c r="AM87" s="45">
        <v>3512</v>
      </c>
      <c r="AN87" s="26">
        <v>24.3</v>
      </c>
      <c r="AO87" s="26">
        <v>3387</v>
      </c>
      <c r="AP87" s="26">
        <v>307.9</v>
      </c>
      <c r="AQ87" s="26">
        <v>485.6</v>
      </c>
      <c r="AR87" s="26">
        <v>4.66</v>
      </c>
      <c r="AS87" s="26">
        <v>165.4</v>
      </c>
      <c r="AT87" s="27">
        <v>2846000</v>
      </c>
    </row>
    <row r="88" spans="28:46" ht="15">
      <c r="AB88" s="18" t="s">
        <v>112</v>
      </c>
      <c r="AC88" s="19">
        <v>8.64</v>
      </c>
      <c r="AD88" s="19">
        <v>80</v>
      </c>
      <c r="AE88" s="19">
        <v>45</v>
      </c>
      <c r="AF88" s="19">
        <v>6</v>
      </c>
      <c r="AG88" s="19">
        <v>8</v>
      </c>
      <c r="AH88" s="19">
        <v>8</v>
      </c>
      <c r="AI88" s="33">
        <v>4</v>
      </c>
      <c r="AJ88" s="49">
        <v>11</v>
      </c>
      <c r="AK88" s="19">
        <v>106</v>
      </c>
      <c r="AL88" s="50">
        <v>26.5</v>
      </c>
      <c r="AM88" s="40">
        <v>31.8</v>
      </c>
      <c r="AN88" s="19">
        <v>3.1</v>
      </c>
      <c r="AO88" s="19">
        <v>19.4</v>
      </c>
      <c r="AP88" s="19">
        <v>6.36</v>
      </c>
      <c r="AQ88" s="19">
        <v>12.1</v>
      </c>
      <c r="AR88" s="19">
        <v>1.33</v>
      </c>
      <c r="AS88" s="19">
        <v>2.16</v>
      </c>
      <c r="AT88" s="20">
        <v>170</v>
      </c>
    </row>
    <row r="89" spans="28:46" ht="15">
      <c r="AB89" s="10" t="s">
        <v>113</v>
      </c>
      <c r="AC89" s="1">
        <v>10.6</v>
      </c>
      <c r="AD89" s="1">
        <v>100</v>
      </c>
      <c r="AE89" s="1">
        <v>50</v>
      </c>
      <c r="AF89" s="1">
        <v>6</v>
      </c>
      <c r="AG89" s="1">
        <v>8.5</v>
      </c>
      <c r="AH89" s="1">
        <v>8.5</v>
      </c>
      <c r="AI89" s="34">
        <v>4.5</v>
      </c>
      <c r="AJ89" s="51">
        <v>13.5</v>
      </c>
      <c r="AK89" s="1">
        <v>206</v>
      </c>
      <c r="AL89" s="52">
        <v>41.2</v>
      </c>
      <c r="AM89" s="41">
        <v>49</v>
      </c>
      <c r="AN89" s="1">
        <v>3.91</v>
      </c>
      <c r="AO89" s="1">
        <v>29.3</v>
      </c>
      <c r="AP89" s="1">
        <v>8.49</v>
      </c>
      <c r="AQ89" s="1">
        <v>16.2</v>
      </c>
      <c r="AR89" s="1">
        <v>1.47</v>
      </c>
      <c r="AS89" s="1">
        <v>2.81</v>
      </c>
      <c r="AT89" s="11">
        <v>410</v>
      </c>
    </row>
    <row r="90" spans="28:46" ht="15">
      <c r="AB90" s="10" t="s">
        <v>114</v>
      </c>
      <c r="AC90" s="1">
        <v>13.4</v>
      </c>
      <c r="AD90" s="1">
        <v>120</v>
      </c>
      <c r="AE90" s="1">
        <v>55</v>
      </c>
      <c r="AF90" s="1">
        <v>7</v>
      </c>
      <c r="AG90" s="1">
        <v>9</v>
      </c>
      <c r="AH90" s="1">
        <v>9</v>
      </c>
      <c r="AI90" s="34">
        <v>4.5</v>
      </c>
      <c r="AJ90" s="51">
        <v>17</v>
      </c>
      <c r="AK90" s="1">
        <v>364</v>
      </c>
      <c r="AL90" s="52">
        <v>60.7</v>
      </c>
      <c r="AM90" s="41">
        <v>72.6</v>
      </c>
      <c r="AN90" s="1">
        <v>4.62</v>
      </c>
      <c r="AO90" s="1">
        <v>43.2</v>
      </c>
      <c r="AP90" s="1">
        <v>11.1</v>
      </c>
      <c r="AQ90" s="1">
        <v>21.2</v>
      </c>
      <c r="AR90" s="1">
        <v>1.59</v>
      </c>
      <c r="AS90" s="1">
        <v>4.15</v>
      </c>
      <c r="AT90" s="11">
        <v>900</v>
      </c>
    </row>
    <row r="91" spans="28:46" ht="15">
      <c r="AB91" s="10" t="s">
        <v>115</v>
      </c>
      <c r="AC91" s="1">
        <v>16</v>
      </c>
      <c r="AD91" s="1">
        <v>140</v>
      </c>
      <c r="AE91" s="1">
        <v>60</v>
      </c>
      <c r="AF91" s="1">
        <v>7</v>
      </c>
      <c r="AG91" s="1">
        <v>10</v>
      </c>
      <c r="AH91" s="1">
        <v>10</v>
      </c>
      <c r="AI91" s="34">
        <v>5</v>
      </c>
      <c r="AJ91" s="51">
        <v>20.4</v>
      </c>
      <c r="AK91" s="1">
        <v>605</v>
      </c>
      <c r="AL91" s="52">
        <v>86.4</v>
      </c>
      <c r="AM91" s="41">
        <v>103</v>
      </c>
      <c r="AN91" s="1">
        <v>5.45</v>
      </c>
      <c r="AO91" s="1">
        <v>62.7</v>
      </c>
      <c r="AP91" s="1">
        <v>14.8</v>
      </c>
      <c r="AQ91" s="1">
        <v>28.3</v>
      </c>
      <c r="AR91" s="1">
        <v>1.75</v>
      </c>
      <c r="AS91" s="1">
        <v>5.68</v>
      </c>
      <c r="AT91" s="11">
        <v>1800</v>
      </c>
    </row>
    <row r="92" spans="28:46" ht="15">
      <c r="AB92" s="10" t="s">
        <v>116</v>
      </c>
      <c r="AC92" s="1">
        <v>18.8</v>
      </c>
      <c r="AD92" s="1">
        <v>160</v>
      </c>
      <c r="AE92" s="1">
        <v>65</v>
      </c>
      <c r="AF92" s="1">
        <v>7.5</v>
      </c>
      <c r="AG92" s="1">
        <v>10.5</v>
      </c>
      <c r="AH92" s="1">
        <v>10.5</v>
      </c>
      <c r="AI92" s="34">
        <v>5.5</v>
      </c>
      <c r="AJ92" s="51">
        <v>24</v>
      </c>
      <c r="AK92" s="1">
        <v>925</v>
      </c>
      <c r="AL92" s="52">
        <v>116</v>
      </c>
      <c r="AM92" s="41">
        <v>138</v>
      </c>
      <c r="AN92" s="1">
        <v>6.21</v>
      </c>
      <c r="AO92" s="1">
        <v>85.3</v>
      </c>
      <c r="AP92" s="1">
        <v>18.3</v>
      </c>
      <c r="AQ92" s="1">
        <v>35.2</v>
      </c>
      <c r="AR92" s="1">
        <v>1.89</v>
      </c>
      <c r="AS92" s="1">
        <v>7.39</v>
      </c>
      <c r="AT92" s="11">
        <v>3260</v>
      </c>
    </row>
    <row r="93" spans="28:46" ht="15">
      <c r="AB93" s="10" t="s">
        <v>117</v>
      </c>
      <c r="AC93" s="1">
        <v>22</v>
      </c>
      <c r="AD93" s="1">
        <v>180</v>
      </c>
      <c r="AE93" s="1">
        <v>70</v>
      </c>
      <c r="AF93" s="1">
        <v>8</v>
      </c>
      <c r="AG93" s="1">
        <v>11</v>
      </c>
      <c r="AH93" s="1">
        <v>11</v>
      </c>
      <c r="AI93" s="34">
        <v>5.5</v>
      </c>
      <c r="AJ93" s="51">
        <v>28</v>
      </c>
      <c r="AK93" s="1">
        <v>1350</v>
      </c>
      <c r="AL93" s="52">
        <v>150</v>
      </c>
      <c r="AM93" s="41">
        <v>179</v>
      </c>
      <c r="AN93" s="1">
        <v>6.95</v>
      </c>
      <c r="AO93" s="1">
        <v>114</v>
      </c>
      <c r="AP93" s="1">
        <v>22.4</v>
      </c>
      <c r="AQ93" s="1">
        <v>42.9</v>
      </c>
      <c r="AR93" s="1">
        <v>2.02</v>
      </c>
      <c r="AS93" s="1">
        <v>9.55</v>
      </c>
      <c r="AT93" s="11">
        <v>5570</v>
      </c>
    </row>
    <row r="94" spans="28:46" ht="15">
      <c r="AB94" s="10" t="s">
        <v>118</v>
      </c>
      <c r="AC94" s="1">
        <v>25.3</v>
      </c>
      <c r="AD94" s="1">
        <v>200</v>
      </c>
      <c r="AE94" s="1">
        <v>75</v>
      </c>
      <c r="AF94" s="1">
        <v>8.5</v>
      </c>
      <c r="AG94" s="1">
        <v>11.5</v>
      </c>
      <c r="AH94" s="1">
        <v>11.5</v>
      </c>
      <c r="AI94" s="34">
        <v>6</v>
      </c>
      <c r="AJ94" s="51">
        <v>32.2</v>
      </c>
      <c r="AK94" s="1">
        <v>1910</v>
      </c>
      <c r="AL94" s="52">
        <v>191</v>
      </c>
      <c r="AM94" s="41">
        <v>228</v>
      </c>
      <c r="AN94" s="1">
        <v>7.7</v>
      </c>
      <c r="AO94" s="1">
        <v>148</v>
      </c>
      <c r="AP94" s="1">
        <v>27</v>
      </c>
      <c r="AQ94" s="1">
        <v>51.8</v>
      </c>
      <c r="AR94" s="1">
        <v>2.14</v>
      </c>
      <c r="AS94" s="1">
        <v>11.9</v>
      </c>
      <c r="AT94" s="11">
        <v>9070</v>
      </c>
    </row>
    <row r="95" spans="28:46" ht="15">
      <c r="AB95" s="10" t="s">
        <v>119</v>
      </c>
      <c r="AC95" s="1">
        <v>29.4</v>
      </c>
      <c r="AD95" s="1">
        <v>220</v>
      </c>
      <c r="AE95" s="1">
        <v>80</v>
      </c>
      <c r="AF95" s="1">
        <v>9</v>
      </c>
      <c r="AG95" s="1">
        <v>12.5</v>
      </c>
      <c r="AH95" s="1">
        <v>12.5</v>
      </c>
      <c r="AI95" s="34">
        <v>6.5</v>
      </c>
      <c r="AJ95" s="51">
        <v>37.4</v>
      </c>
      <c r="AK95" s="1">
        <v>2690</v>
      </c>
      <c r="AL95" s="52">
        <v>245</v>
      </c>
      <c r="AM95" s="41">
        <v>292</v>
      </c>
      <c r="AN95" s="1">
        <v>8.48</v>
      </c>
      <c r="AO95" s="1">
        <v>197</v>
      </c>
      <c r="AP95" s="1">
        <v>33.6</v>
      </c>
      <c r="AQ95" s="1">
        <v>64.1</v>
      </c>
      <c r="AR95" s="1">
        <v>2.3</v>
      </c>
      <c r="AS95" s="1">
        <v>16</v>
      </c>
      <c r="AT95" s="11">
        <v>14600</v>
      </c>
    </row>
    <row r="96" spans="28:46" ht="15">
      <c r="AB96" s="10" t="s">
        <v>120</v>
      </c>
      <c r="AC96" s="1">
        <v>33.2</v>
      </c>
      <c r="AD96" s="1">
        <v>240</v>
      </c>
      <c r="AE96" s="1">
        <v>85</v>
      </c>
      <c r="AF96" s="1">
        <v>9.5</v>
      </c>
      <c r="AG96" s="1">
        <v>13</v>
      </c>
      <c r="AH96" s="1">
        <v>13</v>
      </c>
      <c r="AI96" s="34">
        <v>6.5</v>
      </c>
      <c r="AJ96" s="51">
        <v>42.3</v>
      </c>
      <c r="AK96" s="1">
        <v>3600</v>
      </c>
      <c r="AL96" s="52">
        <v>300</v>
      </c>
      <c r="AM96" s="41">
        <v>358</v>
      </c>
      <c r="AN96" s="1">
        <v>9.22</v>
      </c>
      <c r="AO96" s="1">
        <v>248</v>
      </c>
      <c r="AP96" s="1">
        <v>39.6</v>
      </c>
      <c r="AQ96" s="1">
        <v>75.7</v>
      </c>
      <c r="AR96" s="1">
        <v>2.42</v>
      </c>
      <c r="AS96" s="1">
        <v>19.7</v>
      </c>
      <c r="AT96" s="11">
        <v>22100</v>
      </c>
    </row>
    <row r="97" spans="28:46" ht="15">
      <c r="AB97" s="10" t="s">
        <v>121</v>
      </c>
      <c r="AC97" s="1">
        <v>37.9</v>
      </c>
      <c r="AD97" s="1">
        <v>260</v>
      </c>
      <c r="AE97" s="1">
        <v>90</v>
      </c>
      <c r="AF97" s="1">
        <v>10</v>
      </c>
      <c r="AG97" s="1">
        <v>14</v>
      </c>
      <c r="AH97" s="1">
        <v>14</v>
      </c>
      <c r="AI97" s="34">
        <v>7</v>
      </c>
      <c r="AJ97" s="51">
        <v>48.3</v>
      </c>
      <c r="AK97" s="1">
        <v>4820</v>
      </c>
      <c r="AL97" s="52">
        <v>371</v>
      </c>
      <c r="AM97" s="41">
        <v>442</v>
      </c>
      <c r="AN97" s="1">
        <v>9.99</v>
      </c>
      <c r="AO97" s="1">
        <v>317</v>
      </c>
      <c r="AP97" s="1">
        <v>47.7</v>
      </c>
      <c r="AQ97" s="1">
        <v>91.6</v>
      </c>
      <c r="AR97" s="1">
        <v>2.56</v>
      </c>
      <c r="AS97" s="1">
        <v>25.5</v>
      </c>
      <c r="AT97" s="11">
        <v>33300</v>
      </c>
    </row>
    <row r="98" spans="28:46" ht="15">
      <c r="AB98" s="10" t="s">
        <v>122</v>
      </c>
      <c r="AC98" s="1">
        <v>41.8</v>
      </c>
      <c r="AD98" s="1">
        <v>280</v>
      </c>
      <c r="AE98" s="1">
        <v>95</v>
      </c>
      <c r="AF98" s="1">
        <v>10</v>
      </c>
      <c r="AG98" s="1">
        <v>15</v>
      </c>
      <c r="AH98" s="1">
        <v>15</v>
      </c>
      <c r="AI98" s="34">
        <v>7.5</v>
      </c>
      <c r="AJ98" s="51">
        <v>53.3</v>
      </c>
      <c r="AK98" s="1">
        <v>6280</v>
      </c>
      <c r="AL98" s="52">
        <v>448</v>
      </c>
      <c r="AM98" s="41">
        <v>532</v>
      </c>
      <c r="AN98" s="1">
        <v>10.9</v>
      </c>
      <c r="AO98" s="1">
        <v>399</v>
      </c>
      <c r="AP98" s="1">
        <v>57.2</v>
      </c>
      <c r="AQ98" s="1">
        <v>109</v>
      </c>
      <c r="AR98" s="1">
        <v>2.74</v>
      </c>
      <c r="AS98" s="1">
        <v>31</v>
      </c>
      <c r="AT98" s="11">
        <v>48500</v>
      </c>
    </row>
    <row r="99" spans="28:46" ht="15">
      <c r="AB99" s="10" t="s">
        <v>123</v>
      </c>
      <c r="AC99" s="1">
        <v>46.2</v>
      </c>
      <c r="AD99" s="1">
        <v>300</v>
      </c>
      <c r="AE99" s="1">
        <v>100</v>
      </c>
      <c r="AF99" s="1">
        <v>10</v>
      </c>
      <c r="AG99" s="1">
        <v>16</v>
      </c>
      <c r="AH99" s="1">
        <v>16</v>
      </c>
      <c r="AI99" s="34">
        <v>8</v>
      </c>
      <c r="AJ99" s="51">
        <v>58.8</v>
      </c>
      <c r="AK99" s="1">
        <v>8030</v>
      </c>
      <c r="AL99" s="52">
        <v>535</v>
      </c>
      <c r="AM99" s="41">
        <v>632</v>
      </c>
      <c r="AN99" s="1">
        <v>11.7</v>
      </c>
      <c r="AO99" s="1">
        <v>495</v>
      </c>
      <c r="AP99" s="1">
        <v>67.8</v>
      </c>
      <c r="AQ99" s="1">
        <v>130</v>
      </c>
      <c r="AR99" s="1">
        <v>2.9</v>
      </c>
      <c r="AS99" s="1">
        <v>37.4</v>
      </c>
      <c r="AT99" s="11">
        <v>69100</v>
      </c>
    </row>
    <row r="100" spans="28:46" ht="15">
      <c r="AB100" s="10" t="s">
        <v>124</v>
      </c>
      <c r="AC100" s="1">
        <v>59.5</v>
      </c>
      <c r="AD100" s="1">
        <v>320</v>
      </c>
      <c r="AE100" s="1">
        <v>100</v>
      </c>
      <c r="AF100" s="1">
        <v>14</v>
      </c>
      <c r="AG100" s="1">
        <v>17.5</v>
      </c>
      <c r="AH100" s="1">
        <v>17.5</v>
      </c>
      <c r="AI100" s="34">
        <v>8.75</v>
      </c>
      <c r="AJ100" s="51">
        <v>75.8</v>
      </c>
      <c r="AK100" s="1">
        <v>10870</v>
      </c>
      <c r="AL100" s="52">
        <v>679</v>
      </c>
      <c r="AM100" s="41">
        <v>826</v>
      </c>
      <c r="AN100" s="1">
        <v>12.1</v>
      </c>
      <c r="AO100" s="1">
        <v>597</v>
      </c>
      <c r="AP100" s="1">
        <v>80.6</v>
      </c>
      <c r="AQ100" s="1">
        <v>152</v>
      </c>
      <c r="AR100" s="1">
        <v>2.81</v>
      </c>
      <c r="AS100" s="1">
        <v>66.7</v>
      </c>
      <c r="AT100" s="11">
        <v>96100</v>
      </c>
    </row>
    <row r="101" spans="28:46" ht="15">
      <c r="AB101" s="10" t="s">
        <v>125</v>
      </c>
      <c r="AC101" s="1">
        <v>60.6</v>
      </c>
      <c r="AD101" s="1">
        <v>350</v>
      </c>
      <c r="AE101" s="1">
        <v>100</v>
      </c>
      <c r="AF101" s="1">
        <v>14</v>
      </c>
      <c r="AG101" s="1">
        <v>16</v>
      </c>
      <c r="AH101" s="1">
        <v>16</v>
      </c>
      <c r="AI101" s="34">
        <v>8</v>
      </c>
      <c r="AJ101" s="51">
        <v>77.3</v>
      </c>
      <c r="AK101" s="1">
        <v>12840</v>
      </c>
      <c r="AL101" s="52">
        <v>734</v>
      </c>
      <c r="AM101" s="41">
        <v>918</v>
      </c>
      <c r="AN101" s="1">
        <v>12.9</v>
      </c>
      <c r="AO101" s="1">
        <v>570</v>
      </c>
      <c r="AP101" s="1">
        <v>75</v>
      </c>
      <c r="AQ101" s="1">
        <v>143</v>
      </c>
      <c r="AR101" s="1">
        <v>2.72</v>
      </c>
      <c r="AS101" s="1">
        <v>61.2</v>
      </c>
      <c r="AT101" s="11">
        <v>114000</v>
      </c>
    </row>
    <row r="102" spans="28:46" ht="15">
      <c r="AB102" s="10" t="s">
        <v>126</v>
      </c>
      <c r="AC102" s="1">
        <v>63.1</v>
      </c>
      <c r="AD102" s="1">
        <v>380</v>
      </c>
      <c r="AE102" s="1">
        <v>102</v>
      </c>
      <c r="AF102" s="1">
        <v>13.5</v>
      </c>
      <c r="AG102" s="1">
        <v>16</v>
      </c>
      <c r="AH102" s="1">
        <v>16</v>
      </c>
      <c r="AI102" s="34">
        <v>8</v>
      </c>
      <c r="AJ102" s="51">
        <v>80.4</v>
      </c>
      <c r="AK102" s="1">
        <v>15760</v>
      </c>
      <c r="AL102" s="52">
        <v>829</v>
      </c>
      <c r="AM102" s="41">
        <v>1014</v>
      </c>
      <c r="AN102" s="1">
        <v>14</v>
      </c>
      <c r="AO102" s="1">
        <v>615</v>
      </c>
      <c r="AP102" s="1">
        <v>78.7</v>
      </c>
      <c r="AQ102" s="1">
        <v>148</v>
      </c>
      <c r="AR102" s="1">
        <v>2.77</v>
      </c>
      <c r="AS102" s="1">
        <v>59.1</v>
      </c>
      <c r="AT102" s="11">
        <v>146000</v>
      </c>
    </row>
    <row r="103" spans="28:46" ht="15.75" thickBot="1">
      <c r="AB103" s="223" t="s">
        <v>127</v>
      </c>
      <c r="AC103" s="224">
        <v>71.8</v>
      </c>
      <c r="AD103" s="224">
        <v>400</v>
      </c>
      <c r="AE103" s="224">
        <v>110</v>
      </c>
      <c r="AF103" s="224">
        <v>14</v>
      </c>
      <c r="AG103" s="224">
        <v>18</v>
      </c>
      <c r="AH103" s="224">
        <v>18</v>
      </c>
      <c r="AI103" s="61">
        <v>9</v>
      </c>
      <c r="AJ103" s="235">
        <v>91.5</v>
      </c>
      <c r="AK103" s="224">
        <v>20350</v>
      </c>
      <c r="AL103" s="236">
        <v>1020</v>
      </c>
      <c r="AM103" s="42">
        <v>1240</v>
      </c>
      <c r="AN103" s="22">
        <v>14.9</v>
      </c>
      <c r="AO103" s="22">
        <v>846</v>
      </c>
      <c r="AP103" s="22">
        <v>102</v>
      </c>
      <c r="AQ103" s="22">
        <v>190</v>
      </c>
      <c r="AR103" s="22">
        <v>3.04</v>
      </c>
      <c r="AS103" s="22">
        <v>81.6</v>
      </c>
      <c r="AT103" s="23">
        <v>221000</v>
      </c>
    </row>
    <row r="104" spans="28:42" ht="15">
      <c r="AB104" s="258" t="s">
        <v>299</v>
      </c>
      <c r="AC104" s="3">
        <v>1.91</v>
      </c>
      <c r="AD104" s="3">
        <v>40</v>
      </c>
      <c r="AE104" s="3">
        <v>25</v>
      </c>
      <c r="AF104" s="3">
        <v>15</v>
      </c>
      <c r="AG104" s="3">
        <v>2</v>
      </c>
      <c r="AJ104" s="3">
        <v>2.44</v>
      </c>
      <c r="AK104" s="3">
        <v>4.96</v>
      </c>
      <c r="AL104" s="3">
        <v>2.37</v>
      </c>
      <c r="AO104" s="272">
        <f>(2*AD104*AG104*(AE104/2)^2+AG104*(AE104+2*AF104)^3/12)/10000</f>
        <v>5.272916666666667</v>
      </c>
      <c r="AP104" s="272">
        <f>AO104/(AE104/2+AF104)*10</f>
        <v>1.9174242424242427</v>
      </c>
    </row>
    <row r="105" spans="28:42" ht="15">
      <c r="AB105" s="258" t="s">
        <v>300</v>
      </c>
      <c r="AC105" s="3">
        <v>2.15</v>
      </c>
      <c r="AD105" s="3">
        <v>40</v>
      </c>
      <c r="AE105" s="3">
        <v>40</v>
      </c>
      <c r="AF105" s="3">
        <v>15</v>
      </c>
      <c r="AG105" s="3">
        <v>2</v>
      </c>
      <c r="AJ105" s="3">
        <v>2.74</v>
      </c>
      <c r="AK105" s="3">
        <v>5.99</v>
      </c>
      <c r="AL105" s="3">
        <v>2.83</v>
      </c>
      <c r="AO105" s="272">
        <f aca="true" t="shared" si="0" ref="AO105:AO117">(2*AD105*AG105*(AE105/2)^2+AG105*(AE105+2*AF105)^3/12)/10000</f>
        <v>12.116666666666665</v>
      </c>
      <c r="AP105" s="272">
        <f aca="true" t="shared" si="1" ref="AP105:AP117">AO105/(AE105/2+AF105)*10</f>
        <v>3.4619047619047616</v>
      </c>
    </row>
    <row r="106" spans="28:42" ht="15">
      <c r="AB106" s="258" t="s">
        <v>301</v>
      </c>
      <c r="AC106" s="3">
        <v>2.62</v>
      </c>
      <c r="AD106" s="3">
        <v>45</v>
      </c>
      <c r="AE106" s="3">
        <v>30</v>
      </c>
      <c r="AF106" s="3">
        <v>20</v>
      </c>
      <c r="AG106" s="3">
        <v>2.5</v>
      </c>
      <c r="AJ106" s="3">
        <v>3.34</v>
      </c>
      <c r="AK106" s="3">
        <v>8.4</v>
      </c>
      <c r="AL106" s="3">
        <v>3.7</v>
      </c>
      <c r="AO106" s="272">
        <f t="shared" si="0"/>
        <v>12.208333333333332</v>
      </c>
      <c r="AP106" s="272">
        <f t="shared" si="1"/>
        <v>3.488095238095238</v>
      </c>
    </row>
    <row r="107" spans="28:42" ht="15">
      <c r="AB107" s="258" t="s">
        <v>302</v>
      </c>
      <c r="AC107" s="3">
        <v>2.82</v>
      </c>
      <c r="AD107" s="3">
        <v>45</v>
      </c>
      <c r="AE107" s="3">
        <v>30</v>
      </c>
      <c r="AF107" s="3">
        <v>15</v>
      </c>
      <c r="AG107" s="3">
        <v>2.5</v>
      </c>
      <c r="AJ107" s="3">
        <v>3.59</v>
      </c>
      <c r="AK107" s="3">
        <v>9.35</v>
      </c>
      <c r="AL107" s="3">
        <v>3.87</v>
      </c>
      <c r="AO107" s="272">
        <f t="shared" si="0"/>
        <v>9.5625</v>
      </c>
      <c r="AP107" s="272">
        <f t="shared" si="1"/>
        <v>3.1875</v>
      </c>
    </row>
    <row r="108" spans="28:42" ht="15">
      <c r="AB108" s="258" t="s">
        <v>311</v>
      </c>
      <c r="AC108" s="3">
        <v>2.23</v>
      </c>
      <c r="AD108" s="3">
        <v>50</v>
      </c>
      <c r="AE108" s="3">
        <v>25</v>
      </c>
      <c r="AF108" s="3">
        <v>15</v>
      </c>
      <c r="AG108" s="3">
        <v>2</v>
      </c>
      <c r="AJ108" s="3">
        <v>2.84</v>
      </c>
      <c r="AK108" s="3">
        <v>8.74</v>
      </c>
      <c r="AL108" s="3">
        <v>3.36</v>
      </c>
      <c r="AO108" s="272">
        <f t="shared" si="0"/>
        <v>5.897916666666667</v>
      </c>
      <c r="AP108" s="272">
        <f t="shared" si="1"/>
        <v>2.1446969696969695</v>
      </c>
    </row>
    <row r="109" spans="28:45" ht="15">
      <c r="AB109" s="258" t="s">
        <v>303</v>
      </c>
      <c r="AC109" s="3">
        <v>2.72</v>
      </c>
      <c r="AD109" s="3">
        <v>50</v>
      </c>
      <c r="AE109" s="3">
        <v>25</v>
      </c>
      <c r="AF109" s="3">
        <v>15</v>
      </c>
      <c r="AG109" s="3">
        <v>2.5</v>
      </c>
      <c r="AJ109" s="3">
        <v>3.46</v>
      </c>
      <c r="AK109" s="3">
        <v>10.28</v>
      </c>
      <c r="AL109" s="3">
        <v>3.95</v>
      </c>
      <c r="AO109" s="272">
        <f t="shared" si="0"/>
        <v>7.372395833333334</v>
      </c>
      <c r="AP109" s="272">
        <f t="shared" si="1"/>
        <v>2.6808712121212124</v>
      </c>
      <c r="AQ109" s="272" t="s">
        <v>342</v>
      </c>
      <c r="AR109" s="272"/>
      <c r="AS109" s="272"/>
    </row>
    <row r="110" spans="28:42" ht="15">
      <c r="AB110" s="258" t="s">
        <v>304</v>
      </c>
      <c r="AC110" s="3">
        <v>3.31</v>
      </c>
      <c r="AD110" s="3">
        <v>60</v>
      </c>
      <c r="AE110" s="3">
        <v>25</v>
      </c>
      <c r="AF110" s="3">
        <v>20</v>
      </c>
      <c r="AG110" s="3">
        <v>2.5</v>
      </c>
      <c r="AJ110" s="3">
        <v>4.21</v>
      </c>
      <c r="AK110" s="3">
        <v>18.2</v>
      </c>
      <c r="AL110" s="3">
        <v>5.57</v>
      </c>
      <c r="AO110" s="272">
        <f t="shared" si="0"/>
        <v>10.408854166666666</v>
      </c>
      <c r="AP110" s="272">
        <f t="shared" si="1"/>
        <v>3.2027243589743586</v>
      </c>
    </row>
    <row r="111" spans="28:42" ht="15">
      <c r="AB111" s="258" t="s">
        <v>305</v>
      </c>
      <c r="AC111" s="3">
        <v>3.89</v>
      </c>
      <c r="AD111" s="3">
        <v>80</v>
      </c>
      <c r="AE111" s="3">
        <v>25</v>
      </c>
      <c r="AF111" s="3">
        <v>20</v>
      </c>
      <c r="AG111" s="3">
        <v>3</v>
      </c>
      <c r="AJ111" s="3">
        <v>4.96</v>
      </c>
      <c r="AK111" s="3">
        <v>20.73</v>
      </c>
      <c r="AL111" s="3">
        <v>6.34</v>
      </c>
      <c r="AO111" s="272">
        <f t="shared" si="0"/>
        <v>14.365625</v>
      </c>
      <c r="AP111" s="272">
        <f t="shared" si="1"/>
        <v>4.420192307692307</v>
      </c>
    </row>
    <row r="112" spans="28:42" ht="15">
      <c r="AB112" s="258" t="s">
        <v>307</v>
      </c>
      <c r="AC112" s="3">
        <v>3.72</v>
      </c>
      <c r="AD112" s="3">
        <v>80</v>
      </c>
      <c r="AE112" s="3">
        <v>40</v>
      </c>
      <c r="AF112" s="3">
        <v>25</v>
      </c>
      <c r="AG112" s="3">
        <v>2</v>
      </c>
      <c r="AJ112" s="3">
        <v>4.74</v>
      </c>
      <c r="AK112" s="3">
        <v>39.65</v>
      </c>
      <c r="AL112" s="3">
        <v>9.49</v>
      </c>
      <c r="AO112" s="272">
        <f t="shared" si="0"/>
        <v>24.95</v>
      </c>
      <c r="AP112" s="272">
        <f t="shared" si="1"/>
        <v>5.544444444444444</v>
      </c>
    </row>
    <row r="113" spans="28:42" ht="15">
      <c r="AB113" s="258" t="s">
        <v>308</v>
      </c>
      <c r="AC113" s="3">
        <v>4.58</v>
      </c>
      <c r="AD113" s="3">
        <v>80</v>
      </c>
      <c r="AE113" s="3">
        <v>40</v>
      </c>
      <c r="AF113" s="3">
        <v>25</v>
      </c>
      <c r="AG113" s="3">
        <v>2.5</v>
      </c>
      <c r="AJ113" s="3">
        <v>5.84</v>
      </c>
      <c r="AK113" s="3">
        <v>47.77</v>
      </c>
      <c r="AL113" s="3">
        <v>11.42</v>
      </c>
      <c r="AO113" s="272">
        <f t="shared" si="0"/>
        <v>31.1875</v>
      </c>
      <c r="AP113" s="272">
        <f t="shared" si="1"/>
        <v>6.930555555555555</v>
      </c>
    </row>
    <row r="114" spans="28:42" ht="15">
      <c r="AB114" s="258" t="s">
        <v>306</v>
      </c>
      <c r="AC114" s="3">
        <v>5.42</v>
      </c>
      <c r="AD114" s="3">
        <v>80</v>
      </c>
      <c r="AE114" s="3">
        <v>40</v>
      </c>
      <c r="AF114" s="3">
        <v>25</v>
      </c>
      <c r="AG114" s="3">
        <v>3</v>
      </c>
      <c r="AJ114" s="3">
        <v>6.91</v>
      </c>
      <c r="AK114" s="3">
        <v>55.25</v>
      </c>
      <c r="AL114" s="3">
        <v>13.2</v>
      </c>
      <c r="AO114" s="272">
        <f t="shared" si="0"/>
        <v>37.425</v>
      </c>
      <c r="AP114" s="272">
        <f t="shared" si="1"/>
        <v>8.316666666666666</v>
      </c>
    </row>
    <row r="115" spans="28:42" ht="15">
      <c r="AB115" s="258" t="s">
        <v>309</v>
      </c>
      <c r="AC115" s="3">
        <v>4.03</v>
      </c>
      <c r="AD115" s="3">
        <v>90</v>
      </c>
      <c r="AE115" s="3">
        <v>40</v>
      </c>
      <c r="AF115" s="3">
        <v>25</v>
      </c>
      <c r="AG115" s="3">
        <v>2</v>
      </c>
      <c r="AJ115" s="3">
        <v>5.14</v>
      </c>
      <c r="AK115" s="3">
        <v>53.15</v>
      </c>
      <c r="AL115" s="3">
        <v>11.35</v>
      </c>
      <c r="AO115" s="272">
        <f t="shared" si="0"/>
        <v>26.55</v>
      </c>
      <c r="AP115" s="272">
        <f t="shared" si="1"/>
        <v>5.8999999999999995</v>
      </c>
    </row>
    <row r="116" spans="28:42" ht="15">
      <c r="AB116" s="258" t="s">
        <v>310</v>
      </c>
      <c r="AC116" s="3">
        <v>4.98</v>
      </c>
      <c r="AD116" s="3">
        <v>90</v>
      </c>
      <c r="AE116" s="3">
        <v>40</v>
      </c>
      <c r="AF116" s="3">
        <v>25</v>
      </c>
      <c r="AG116" s="3">
        <v>2.5</v>
      </c>
      <c r="AJ116" s="3">
        <v>6.34</v>
      </c>
      <c r="AK116" s="3">
        <v>64.24</v>
      </c>
      <c r="AL116" s="3">
        <v>13.7</v>
      </c>
      <c r="AO116" s="272">
        <f t="shared" si="0"/>
        <v>33.1875</v>
      </c>
      <c r="AP116" s="272">
        <f t="shared" si="1"/>
        <v>7.375</v>
      </c>
    </row>
    <row r="117" spans="28:42" ht="15">
      <c r="AB117" s="258" t="s">
        <v>328</v>
      </c>
      <c r="AC117" s="3">
        <v>5.89</v>
      </c>
      <c r="AD117" s="3">
        <v>90</v>
      </c>
      <c r="AE117" s="3">
        <v>40</v>
      </c>
      <c r="AF117" s="3">
        <v>25</v>
      </c>
      <c r="AG117" s="3">
        <v>3</v>
      </c>
      <c r="AJ117" s="3">
        <v>7.51</v>
      </c>
      <c r="AK117" s="3">
        <v>74.51</v>
      </c>
      <c r="AL117" s="3">
        <v>15.89</v>
      </c>
      <c r="AO117" s="272">
        <f t="shared" si="0"/>
        <v>39.825</v>
      </c>
      <c r="AP117" s="272">
        <f t="shared" si="1"/>
        <v>8.85</v>
      </c>
    </row>
    <row r="118" spans="28:42" ht="15">
      <c r="AB118" s="258" t="s">
        <v>272</v>
      </c>
      <c r="AC118" s="259">
        <v>4.7</v>
      </c>
      <c r="AD118" s="3">
        <v>100</v>
      </c>
      <c r="AE118" s="3">
        <v>50</v>
      </c>
      <c r="AF118" s="3">
        <v>30</v>
      </c>
      <c r="AG118" s="3">
        <v>2</v>
      </c>
      <c r="AJ118" s="259">
        <v>5.93</v>
      </c>
      <c r="AK118" s="259">
        <v>78.64</v>
      </c>
      <c r="AL118" s="259">
        <v>15.18</v>
      </c>
      <c r="AM118" s="260"/>
      <c r="AO118" s="259">
        <v>41.95</v>
      </c>
      <c r="AP118" s="259">
        <v>7.89</v>
      </c>
    </row>
    <row r="119" spans="28:42" ht="15">
      <c r="AB119" s="258" t="s">
        <v>273</v>
      </c>
      <c r="AC119" s="259">
        <v>5.8</v>
      </c>
      <c r="AJ119" s="259">
        <v>7.33</v>
      </c>
      <c r="AK119" s="259">
        <v>95.48</v>
      </c>
      <c r="AL119" s="259">
        <v>18.42</v>
      </c>
      <c r="AM119" s="260"/>
      <c r="AO119" s="259">
        <v>50.74</v>
      </c>
      <c r="AP119" s="259">
        <v>9.66</v>
      </c>
    </row>
    <row r="120" spans="28:42" ht="15">
      <c r="AB120" s="258" t="s">
        <v>274</v>
      </c>
      <c r="AC120" s="259">
        <v>6.86</v>
      </c>
      <c r="AJ120" s="259">
        <v>8.7</v>
      </c>
      <c r="AK120" s="259">
        <v>111.25</v>
      </c>
      <c r="AL120" s="259">
        <v>21.45</v>
      </c>
      <c r="AM120" s="260"/>
      <c r="AO120" s="259">
        <v>59.06</v>
      </c>
      <c r="AP120" s="259">
        <v>11.35</v>
      </c>
    </row>
    <row r="121" spans="28:42" ht="15">
      <c r="AB121" s="258" t="s">
        <v>275</v>
      </c>
      <c r="AC121" s="259">
        <v>4.86</v>
      </c>
      <c r="AJ121" s="259">
        <v>6.05</v>
      </c>
      <c r="AK121" s="259">
        <v>82.15</v>
      </c>
      <c r="AL121" s="259">
        <v>16.75</v>
      </c>
      <c r="AM121" s="260"/>
      <c r="AO121" s="259">
        <v>43.9</v>
      </c>
      <c r="AP121" s="259">
        <v>8.4</v>
      </c>
    </row>
    <row r="122" spans="28:42" ht="15">
      <c r="AB122" s="258" t="s">
        <v>276</v>
      </c>
      <c r="AC122" s="259">
        <v>6</v>
      </c>
      <c r="AJ122" s="259">
        <v>7.58</v>
      </c>
      <c r="AK122" s="259">
        <v>102.55</v>
      </c>
      <c r="AL122" s="259">
        <v>20.51</v>
      </c>
      <c r="AM122" s="260"/>
      <c r="AO122" s="259">
        <v>70.68</v>
      </c>
      <c r="AP122" s="259">
        <v>12.29</v>
      </c>
    </row>
    <row r="123" spans="28:42" ht="15">
      <c r="AB123" s="258" t="s">
        <v>277</v>
      </c>
      <c r="AC123" s="259">
        <v>7.1</v>
      </c>
      <c r="AJ123" s="259">
        <v>9</v>
      </c>
      <c r="AK123" s="259">
        <v>119.73</v>
      </c>
      <c r="AL123" s="259">
        <v>23.94</v>
      </c>
      <c r="AM123" s="260"/>
      <c r="AO123" s="259">
        <v>82.5</v>
      </c>
      <c r="AP123" s="259">
        <v>14.47</v>
      </c>
    </row>
    <row r="124" spans="28:42" ht="15">
      <c r="AB124" s="258" t="s">
        <v>278</v>
      </c>
      <c r="AC124" s="259">
        <v>5.5</v>
      </c>
      <c r="AJ124" s="259">
        <v>6.9</v>
      </c>
      <c r="AK124" s="259">
        <v>130.66</v>
      </c>
      <c r="AL124" s="259">
        <v>21.78</v>
      </c>
      <c r="AM124" s="260"/>
      <c r="AO124" s="259">
        <v>64.54</v>
      </c>
      <c r="AP124" s="259">
        <v>11.13</v>
      </c>
    </row>
    <row r="125" spans="28:42" ht="15">
      <c r="AB125" s="258" t="s">
        <v>279</v>
      </c>
      <c r="AC125" s="259">
        <v>6.8</v>
      </c>
      <c r="AJ125" s="259">
        <v>8.53</v>
      </c>
      <c r="AK125" s="259">
        <v>159.3</v>
      </c>
      <c r="AL125" s="259">
        <v>26.55</v>
      </c>
      <c r="AM125" s="260"/>
      <c r="AO125" s="259">
        <v>78.46</v>
      </c>
      <c r="AP125" s="259">
        <v>13.64</v>
      </c>
    </row>
    <row r="126" spans="28:42" ht="15">
      <c r="AB126" s="258" t="s">
        <v>280</v>
      </c>
      <c r="AC126" s="259">
        <v>8.06</v>
      </c>
      <c r="AJ126" s="259">
        <v>10.12</v>
      </c>
      <c r="AK126" s="259">
        <v>196.39</v>
      </c>
      <c r="AL126" s="259">
        <v>31.06</v>
      </c>
      <c r="AM126" s="260"/>
      <c r="AO126" s="259">
        <v>91.53</v>
      </c>
      <c r="AP126" s="259">
        <v>16.06</v>
      </c>
    </row>
    <row r="127" spans="28:42" ht="15">
      <c r="AB127" s="258" t="s">
        <v>281</v>
      </c>
      <c r="AC127" s="259">
        <v>9.17</v>
      </c>
      <c r="AJ127" s="259">
        <v>11.68</v>
      </c>
      <c r="AK127" s="259">
        <v>211.97</v>
      </c>
      <c r="AL127" s="259">
        <v>35.33</v>
      </c>
      <c r="AM127" s="260"/>
      <c r="AO127" s="259">
        <v>103.8</v>
      </c>
      <c r="AP127" s="259">
        <v>18.37</v>
      </c>
    </row>
    <row r="128" spans="28:42" ht="15">
      <c r="AB128" s="258" t="s">
        <v>282</v>
      </c>
      <c r="AC128" s="259">
        <v>6.14</v>
      </c>
      <c r="AJ128" s="259">
        <v>7.7</v>
      </c>
      <c r="AK128" s="259">
        <v>158.51</v>
      </c>
      <c r="AL128" s="259">
        <v>26.42</v>
      </c>
      <c r="AM128" s="260"/>
      <c r="AO128" s="259">
        <v>132.94</v>
      </c>
      <c r="AP128" s="259">
        <v>17.04</v>
      </c>
    </row>
    <row r="129" spans="28:42" ht="15">
      <c r="AB129" s="258" t="s">
        <v>283</v>
      </c>
      <c r="AC129" s="259">
        <v>7.6</v>
      </c>
      <c r="AJ129" s="259">
        <v>9.53</v>
      </c>
      <c r="AK129" s="259">
        <v>193.82</v>
      </c>
      <c r="AL129" s="259">
        <v>32.3</v>
      </c>
      <c r="AM129" s="260"/>
      <c r="AO129" s="259">
        <v>162.52</v>
      </c>
      <c r="AP129" s="259">
        <v>20.97</v>
      </c>
    </row>
    <row r="130" spans="28:42" ht="15">
      <c r="AB130" s="258" t="s">
        <v>284</v>
      </c>
      <c r="AC130" s="259">
        <v>9.02</v>
      </c>
      <c r="AJ130" s="259">
        <v>11.32</v>
      </c>
      <c r="AK130" s="259">
        <v>227.46</v>
      </c>
      <c r="AL130" s="259">
        <v>37.91</v>
      </c>
      <c r="AM130" s="260"/>
      <c r="AO130" s="259">
        <v>190.71</v>
      </c>
      <c r="AP130" s="259">
        <v>24.77</v>
      </c>
    </row>
    <row r="131" spans="28:42" ht="15">
      <c r="AB131" s="258" t="s">
        <v>285</v>
      </c>
      <c r="AC131" s="259">
        <v>10.27</v>
      </c>
      <c r="AJ131" s="259">
        <v>13.08</v>
      </c>
      <c r="AK131" s="259">
        <v>259.48</v>
      </c>
      <c r="AL131" s="259">
        <v>43.25</v>
      </c>
      <c r="AM131" s="260"/>
      <c r="AO131" s="259">
        <v>217.54</v>
      </c>
      <c r="AP131" s="259">
        <v>28.44</v>
      </c>
    </row>
    <row r="132" spans="28:42" ht="15">
      <c r="AB132" s="258" t="s">
        <v>286</v>
      </c>
      <c r="AC132" s="259">
        <v>7.1</v>
      </c>
      <c r="AJ132" s="259">
        <v>8.9</v>
      </c>
      <c r="AK132" s="259">
        <v>271.25</v>
      </c>
      <c r="AL132" s="259">
        <v>36.17</v>
      </c>
      <c r="AM132" s="260"/>
      <c r="AO132" s="259">
        <v>151.19</v>
      </c>
      <c r="AP132" s="259">
        <v>19.38</v>
      </c>
    </row>
    <row r="133" spans="28:42" ht="15">
      <c r="AB133" s="258" t="s">
        <v>287</v>
      </c>
      <c r="AC133" s="259">
        <v>8.8</v>
      </c>
      <c r="AJ133" s="259">
        <v>11.03</v>
      </c>
      <c r="AK133" s="259">
        <v>332.59</v>
      </c>
      <c r="AL133" s="259">
        <v>44.35</v>
      </c>
      <c r="AM133" s="260"/>
      <c r="AO133" s="259">
        <v>185.05</v>
      </c>
      <c r="AP133" s="259">
        <v>23.88</v>
      </c>
    </row>
    <row r="134" spans="28:42" ht="15">
      <c r="AB134" s="258" t="s">
        <v>288</v>
      </c>
      <c r="AC134" s="259">
        <v>10.46</v>
      </c>
      <c r="AJ134" s="259">
        <v>13.12</v>
      </c>
      <c r="AK134" s="259">
        <v>391.44</v>
      </c>
      <c r="AL134" s="259">
        <v>52.19</v>
      </c>
      <c r="AM134" s="260"/>
      <c r="AO134" s="259">
        <v>217.41</v>
      </c>
      <c r="AP134" s="259">
        <v>28.23</v>
      </c>
    </row>
    <row r="135" spans="28:42" ht="15">
      <c r="AB135" s="258" t="s">
        <v>289</v>
      </c>
      <c r="AC135" s="259">
        <v>11.92</v>
      </c>
      <c r="AJ135" s="259">
        <v>15.18</v>
      </c>
      <c r="AK135" s="259">
        <v>447.82</v>
      </c>
      <c r="AL135" s="259">
        <v>59.71</v>
      </c>
      <c r="AM135" s="260"/>
      <c r="AO135" s="259">
        <v>248.29</v>
      </c>
      <c r="AP135" s="259">
        <v>32.46</v>
      </c>
    </row>
    <row r="136" spans="28:42" ht="15">
      <c r="AB136" s="258" t="s">
        <v>290</v>
      </c>
      <c r="AC136" s="259">
        <v>8.06</v>
      </c>
      <c r="AJ136" s="259">
        <v>10.1</v>
      </c>
      <c r="AK136" s="259">
        <v>424.03</v>
      </c>
      <c r="AL136" s="259">
        <v>47.11</v>
      </c>
      <c r="AM136" s="260"/>
      <c r="AO136" s="259">
        <v>169.45</v>
      </c>
      <c r="AP136" s="259">
        <v>21.72</v>
      </c>
    </row>
    <row r="137" spans="28:42" ht="15">
      <c r="AB137" s="258" t="s">
        <v>291</v>
      </c>
      <c r="AC137" s="259">
        <v>10</v>
      </c>
      <c r="AJ137" s="259">
        <v>12.53</v>
      </c>
      <c r="AK137" s="259">
        <v>521</v>
      </c>
      <c r="AL137" s="259">
        <v>57.89</v>
      </c>
      <c r="AM137" s="260"/>
      <c r="AO137" s="259">
        <v>207.59</v>
      </c>
      <c r="AP137" s="259">
        <v>26.79</v>
      </c>
    </row>
    <row r="138" spans="28:42" ht="15">
      <c r="AB138" s="258" t="s">
        <v>292</v>
      </c>
      <c r="AC138" s="259">
        <v>11.9</v>
      </c>
      <c r="AJ138" s="259">
        <v>14.92</v>
      </c>
      <c r="AK138" s="259">
        <v>614.47</v>
      </c>
      <c r="AL138" s="259">
        <v>68.27</v>
      </c>
      <c r="AM138" s="260"/>
      <c r="AO138" s="259">
        <v>244.1</v>
      </c>
      <c r="AP138" s="259">
        <v>31.7</v>
      </c>
    </row>
    <row r="139" spans="28:42" ht="15">
      <c r="AB139" s="258" t="s">
        <v>293</v>
      </c>
      <c r="AC139" s="259">
        <v>13.56</v>
      </c>
      <c r="AJ139" s="259">
        <v>17.28</v>
      </c>
      <c r="AK139" s="259">
        <v>704.47</v>
      </c>
      <c r="AL139" s="259">
        <v>78.27</v>
      </c>
      <c r="AM139" s="260"/>
      <c r="AO139" s="259">
        <v>279.03</v>
      </c>
      <c r="AP139" s="259">
        <v>36.47</v>
      </c>
    </row>
    <row r="140" spans="28:42" ht="15">
      <c r="AB140" s="258" t="s">
        <v>294</v>
      </c>
      <c r="AC140" s="259">
        <v>8.54</v>
      </c>
      <c r="AJ140" s="259">
        <v>10.7</v>
      </c>
      <c r="AK140" s="259">
        <v>471.26</v>
      </c>
      <c r="AL140" s="259">
        <v>51.41</v>
      </c>
      <c r="AM140" s="260"/>
      <c r="AO140" s="259">
        <v>274.84</v>
      </c>
      <c r="AP140" s="259">
        <v>29.55</v>
      </c>
    </row>
    <row r="141" spans="28:42" ht="15">
      <c r="AB141" s="258" t="s">
        <v>295</v>
      </c>
      <c r="AC141" s="259">
        <v>10.6</v>
      </c>
      <c r="AJ141" s="259">
        <v>13.28</v>
      </c>
      <c r="AK141" s="259">
        <v>579.71</v>
      </c>
      <c r="AL141" s="259">
        <v>63.24</v>
      </c>
      <c r="AM141" s="260"/>
      <c r="AO141" s="259">
        <v>337.65</v>
      </c>
      <c r="AP141" s="259">
        <v>36.5</v>
      </c>
    </row>
    <row r="142" spans="28:42" ht="15">
      <c r="AB142" s="258" t="s">
        <v>296</v>
      </c>
      <c r="AC142" s="259">
        <v>12.62</v>
      </c>
      <c r="AJ142" s="259">
        <v>15.83</v>
      </c>
      <c r="AK142" s="259">
        <v>684.52</v>
      </c>
      <c r="AL142" s="259">
        <v>74.67</v>
      </c>
      <c r="AM142" s="260"/>
      <c r="AO142" s="259">
        <v>398.17</v>
      </c>
      <c r="AP142" s="259">
        <v>43.28</v>
      </c>
    </row>
    <row r="143" spans="28:42" ht="15">
      <c r="AB143" s="258" t="s">
        <v>297</v>
      </c>
      <c r="AC143" s="259">
        <v>14.39</v>
      </c>
      <c r="AJ143" s="259">
        <v>18.33</v>
      </c>
      <c r="AK143" s="259">
        <v>785.73</v>
      </c>
      <c r="AL143" s="259">
        <v>85.7</v>
      </c>
      <c r="AM143" s="260"/>
      <c r="AO143" s="259">
        <v>456.46</v>
      </c>
      <c r="AP143" s="259">
        <v>49.89</v>
      </c>
    </row>
    <row r="144" spans="28:42" ht="15.75" thickBot="1">
      <c r="AB144" s="258" t="s">
        <v>298</v>
      </c>
      <c r="AC144" s="259">
        <v>16.57</v>
      </c>
      <c r="AJ144" s="259">
        <v>20.8</v>
      </c>
      <c r="AK144" s="259">
        <v>883.4</v>
      </c>
      <c r="AL144" s="259">
        <v>96.34</v>
      </c>
      <c r="AM144" s="260"/>
      <c r="AO144" s="259">
        <v>512.55</v>
      </c>
      <c r="AP144" s="259">
        <v>56.32</v>
      </c>
    </row>
    <row r="145" spans="28:46" ht="15">
      <c r="AB145" s="229" t="str">
        <f>CONCATENATE("Rettang. b",O2,"xh",P2,"mm")</f>
        <v>Rettang. b200xh400mm</v>
      </c>
      <c r="AC145" s="226"/>
      <c r="AD145" s="226">
        <f>P2</f>
        <v>400</v>
      </c>
      <c r="AE145" s="226">
        <f>O2</f>
        <v>200</v>
      </c>
      <c r="AF145" s="226"/>
      <c r="AG145" s="226"/>
      <c r="AH145" s="226"/>
      <c r="AI145" s="226"/>
      <c r="AJ145" s="225">
        <f>AE145*AD145/100</f>
        <v>800</v>
      </c>
      <c r="AK145" s="226">
        <f>AE145*AD145^3/12/10000</f>
        <v>106666.66666666666</v>
      </c>
      <c r="AL145" s="227">
        <f>AE145*AD145^2/6/1000</f>
        <v>5333.333333333333</v>
      </c>
      <c r="AM145" s="14"/>
      <c r="AN145" s="14"/>
      <c r="AO145" s="226">
        <f>AD145*AE145^3/12/10000</f>
        <v>26666.666666666664</v>
      </c>
      <c r="AP145" s="227">
        <f>AD145*AE145^2/6/1000</f>
        <v>2666.6666666666665</v>
      </c>
      <c r="AQ145" s="14"/>
      <c r="AR145" s="14"/>
      <c r="AS145" s="14"/>
      <c r="AT145" s="15"/>
    </row>
    <row r="146" spans="28:46" ht="15">
      <c r="AB146" s="13" t="str">
        <f>IF((O3=P3),(CONCATENATE("Tubo Quad.h",P3,"*b",O3,"*s",Q3,"mm")),(CONCATENATE("Tubo Ret.h",P3,"*b",O3,"*s",Q3,"mm")))</f>
        <v>Tubo Ret.h280*b190*s8mm</v>
      </c>
      <c r="AC146" s="14"/>
      <c r="AD146" s="14">
        <f>P3</f>
        <v>280</v>
      </c>
      <c r="AE146" s="14">
        <f>O3</f>
        <v>190</v>
      </c>
      <c r="AF146" s="14">
        <f>Q3</f>
        <v>8</v>
      </c>
      <c r="AG146" s="14"/>
      <c r="AH146" s="14"/>
      <c r="AI146" s="14"/>
      <c r="AJ146" s="13">
        <f>(AD146*AE146-(AD146-2*AF146)*(AE146-2*AF146))/100</f>
        <v>72.64</v>
      </c>
      <c r="AK146" s="14">
        <f>(AD146^3*AE146/12-(AD146-2*AF146)^3*(AE146-2*AF146)/12)/10000</f>
        <v>8077.704533333332</v>
      </c>
      <c r="AL146" s="15">
        <f>AK146/AD146*20</f>
        <v>576.9788952380951</v>
      </c>
      <c r="AM146" s="14"/>
      <c r="AN146" s="14"/>
      <c r="AO146" s="14">
        <f>(AE146^3*AD146/12-(AE146-2*AF146)^3*(AD146-2*AF146)/12)/10000</f>
        <v>4414.680533333334</v>
      </c>
      <c r="AP146" s="15">
        <f>AO146/AE146*20</f>
        <v>464.70321403508774</v>
      </c>
      <c r="AQ146" s="14"/>
      <c r="AR146" s="14"/>
      <c r="AS146" s="14"/>
      <c r="AT146" s="15"/>
    </row>
    <row r="147" spans="28:46" ht="15">
      <c r="AB147" s="13" t="str">
        <f>CONCATENATE("Tubo Cic.D",O4,"*s",Q4,"mm")</f>
        <v>Tubo Cic.D100*s3mm</v>
      </c>
      <c r="AC147" s="14"/>
      <c r="AD147" s="14"/>
      <c r="AE147" s="14">
        <f>O4/2</f>
        <v>50</v>
      </c>
      <c r="AF147" s="14">
        <f>Q4</f>
        <v>3</v>
      </c>
      <c r="AG147" s="14"/>
      <c r="AH147" s="14"/>
      <c r="AI147" s="14"/>
      <c r="AJ147" s="13">
        <f>(AE147^2-(AE147-AF147)^2)*3.1416/100</f>
        <v>9.142056</v>
      </c>
      <c r="AK147" s="14">
        <f>(AE147^4-(AE147-AF147)^4)*3.1416/40000</f>
        <v>107.62485426</v>
      </c>
      <c r="AL147" s="15">
        <f>AK147/AE147*10</f>
        <v>21.524970852000003</v>
      </c>
      <c r="AM147" s="14"/>
      <c r="AN147" s="14"/>
      <c r="AO147" s="14">
        <f>(AE147^4-(AE147-AF147)^4)*3.1416/40000</f>
        <v>107.62485426</v>
      </c>
      <c r="AP147" s="15">
        <f>AO147/AE147*10</f>
        <v>21.524970852000003</v>
      </c>
      <c r="AQ147" s="14"/>
      <c r="AR147" s="14"/>
      <c r="AS147" s="14"/>
      <c r="AT147" s="15"/>
    </row>
    <row r="148" spans="28:46" ht="15">
      <c r="AB148" s="13" t="str">
        <f>IF(AF148=AG148,(CONCATENATE("Sez.T h",P5,"*b",O5,"*s",Q5,"mm")),((CONCATENATE("Sez.T h",P5,"*b",O5,"*sh",Q5,"*sb",R5,"mm"))))</f>
        <v>Sez.T h700*b700*s50mm</v>
      </c>
      <c r="AC148" s="14"/>
      <c r="AD148" s="14">
        <f>P5</f>
        <v>700</v>
      </c>
      <c r="AE148" s="14">
        <f>O5</f>
        <v>700</v>
      </c>
      <c r="AF148" s="14">
        <f>Q5</f>
        <v>50</v>
      </c>
      <c r="AG148" s="14">
        <f>R5</f>
        <v>50</v>
      </c>
      <c r="AH148" s="14"/>
      <c r="AI148" s="14">
        <f>(AE148*AD148^2-(AE148-AF148)*(AD148-AG148)^2)/2/AJ148/100</f>
        <v>506.48148148148147</v>
      </c>
      <c r="AJ148" s="13">
        <f>(AD148*AE148-(AD148-AG148)*(AE148-AF148))/100</f>
        <v>675</v>
      </c>
      <c r="AK148" s="14">
        <f>((AE148*AD148^2-(AE148-AF148)*(AD148-AG148)^2)^2-4*AD148*AE148*(AE148-AF148)*(AD148-AG148)*(AD148-(AD148-AG148))^2)/(AE148*AD148-(AE148-AF148)*(AD148-AG148))/120000</f>
        <v>321591.43518518517</v>
      </c>
      <c r="AL148" s="15">
        <f>((AE148*AD148^2-(AE148-AF148)*(AD148-AG148)^2)/6-(2*AD148*AE148*(AE148-AF148)*(AD148-AG148)*(AD148-(AD148-AG148))^2)/(AE148*AD148^2-(AE148-AF148)*(AD148-AG148)^2)/3)/1000</f>
        <v>6349.520109689214</v>
      </c>
      <c r="AM148" s="14">
        <f>AK148/AI148*10</f>
        <v>6349.520109689214</v>
      </c>
      <c r="AN148" s="14"/>
      <c r="AO148" s="14">
        <f>((AD148-AG148)*AF148^3+AG148*AE148^3)/120000</f>
        <v>143593.75</v>
      </c>
      <c r="AP148" s="15">
        <f>AO148/AE148*10/2</f>
        <v>1025.669642857143</v>
      </c>
      <c r="AQ148" s="14"/>
      <c r="AS148" s="14"/>
      <c r="AT148" s="15"/>
    </row>
    <row r="149" spans="28:46" ht="15">
      <c r="AB149" s="13" t="str">
        <f>IF(S6=O6,CONCATENATE("DoppioT h",P6,"*b",O6,"*sh",Q6,"*sb",R6,"mm"),CONCATENATE("DoppioT h",P6,"*bs",O6,"*bi",S6,"*sh",Q6,"*sb",R6,"mm"))</f>
        <v>DoppioT h100*bs50*bi60*sh2,5*sb2,5mm</v>
      </c>
      <c r="AC149" s="14"/>
      <c r="AD149" s="14">
        <f>P6</f>
        <v>100</v>
      </c>
      <c r="AE149" s="14">
        <f>O6</f>
        <v>50</v>
      </c>
      <c r="AF149" s="14">
        <f>Q6</f>
        <v>2.5</v>
      </c>
      <c r="AG149" s="14">
        <f>R6</f>
        <v>2.5</v>
      </c>
      <c r="AH149" s="14">
        <f>S6</f>
        <v>60</v>
      </c>
      <c r="AI149" s="14">
        <f>(AE149*AG149*(AD149-AG149/2)+AH149*AG149*AG149/2+(AD149-2*AG149)*AD149/2*AF149)/AJ149/100</f>
        <v>47.62195121951219</v>
      </c>
      <c r="AJ149" s="13">
        <f>((AE149+AH149)*AG149+(AD149-2*AG149)*AF149)/100</f>
        <v>5.125</v>
      </c>
      <c r="AK149" s="14">
        <f>(AE149*(AD149-AI149)^3-(AE149-AF149)*(AD149-AI149-AG149)^3+AH149*AI149^3-(AH149-AF149)*(AI149-AG149)^3)/30000</f>
        <v>82.94194613821134</v>
      </c>
      <c r="AL149" s="15">
        <f>MIN(AK149/AI149,AK149/(AD149-AI149))*10</f>
        <v>15.835249320915782</v>
      </c>
      <c r="AM149" s="14"/>
      <c r="AN149" s="14"/>
      <c r="AO149" s="14">
        <f>((AD149-2*AG149)*AF149^3+AG149*AE149^3+AG149*AH149^3)/120000</f>
        <v>7.116536458333333</v>
      </c>
      <c r="AP149" s="15">
        <f>AO149/MAX(AE149,AH149)*10/2</f>
        <v>0.593044704861111</v>
      </c>
      <c r="AQ149" s="14"/>
      <c r="AR149" s="14"/>
      <c r="AS149" s="14"/>
      <c r="AT149" s="15"/>
    </row>
    <row r="150" spans="28:46" ht="15">
      <c r="AB150" s="13" t="str">
        <f>CONCATENATE("Sez.Circ.D=",O7,"mm")</f>
        <v>Sez.Circ.D=100mm</v>
      </c>
      <c r="AC150" s="14"/>
      <c r="AD150" s="14"/>
      <c r="AE150" s="14">
        <f>O7/2</f>
        <v>50</v>
      </c>
      <c r="AF150" s="14"/>
      <c r="AG150" s="14"/>
      <c r="AH150" s="14"/>
      <c r="AI150" s="14"/>
      <c r="AJ150" s="13">
        <f>AE150^2*3.14/100</f>
        <v>78.5</v>
      </c>
      <c r="AK150" s="14">
        <f>(AE150^4)*3.1416/4/10000</f>
        <v>490.875</v>
      </c>
      <c r="AL150" s="15">
        <f>AK150/AE150*10</f>
        <v>98.17500000000001</v>
      </c>
      <c r="AM150" s="14"/>
      <c r="AN150" s="14"/>
      <c r="AO150" s="14">
        <f>(AE150^4)*3.1416/4/10000</f>
        <v>490.875</v>
      </c>
      <c r="AP150" s="15">
        <f>AO150/AE150*10</f>
        <v>98.17500000000001</v>
      </c>
      <c r="AQ150" s="14"/>
      <c r="AR150" s="14"/>
      <c r="AS150" s="14"/>
      <c r="AT150" s="15"/>
    </row>
    <row r="151" spans="28:46" ht="15.75" thickBot="1">
      <c r="AB151" s="13" t="str">
        <f>N9</f>
        <v>altra sezione</v>
      </c>
      <c r="AC151" s="14"/>
      <c r="AD151" s="234" t="s">
        <v>250</v>
      </c>
      <c r="AE151" s="234" t="s">
        <v>248</v>
      </c>
      <c r="AF151" s="234" t="s">
        <v>252</v>
      </c>
      <c r="AG151" s="234" t="s">
        <v>251</v>
      </c>
      <c r="AH151" s="234" t="s">
        <v>249</v>
      </c>
      <c r="AI151" s="14"/>
      <c r="AJ151" s="237">
        <f>P9</f>
        <v>10</v>
      </c>
      <c r="AK151" s="16">
        <f>Q9</f>
        <v>100</v>
      </c>
      <c r="AL151" s="17">
        <f>R9</f>
        <v>50</v>
      </c>
      <c r="AO151" s="16">
        <f>S9</f>
        <v>80</v>
      </c>
      <c r="AP151" s="17">
        <f>T9</f>
        <v>40</v>
      </c>
      <c r="AQ151" s="14"/>
      <c r="AR151" s="14"/>
      <c r="AS151" s="14"/>
      <c r="AT151" s="15"/>
    </row>
    <row r="152" spans="28:46" ht="15.75" thickBot="1">
      <c r="AB152" s="131" t="s">
        <v>145</v>
      </c>
      <c r="AC152" s="62"/>
      <c r="AD152" s="62" t="s">
        <v>142</v>
      </c>
      <c r="AE152" s="62" t="s">
        <v>151</v>
      </c>
      <c r="AF152" s="62" t="s">
        <v>150</v>
      </c>
      <c r="AG152" s="62" t="s">
        <v>153</v>
      </c>
      <c r="AH152" s="62" t="s">
        <v>247</v>
      </c>
      <c r="AI152" s="62" t="s">
        <v>206</v>
      </c>
      <c r="AJ152" s="228" t="s">
        <v>207</v>
      </c>
      <c r="AK152" s="62" t="s">
        <v>338</v>
      </c>
      <c r="AL152" s="132" t="s">
        <v>339</v>
      </c>
      <c r="AM152" s="62"/>
      <c r="AN152" s="62"/>
      <c r="AO152" s="62" t="s">
        <v>340</v>
      </c>
      <c r="AP152" s="132" t="s">
        <v>341</v>
      </c>
      <c r="AQ152" s="62"/>
      <c r="AR152" s="62"/>
      <c r="AS152" s="62"/>
      <c r="AT152" s="132"/>
    </row>
    <row r="153" spans="28:46" ht="15">
      <c r="AB153" s="257" t="s">
        <v>264</v>
      </c>
      <c r="AC153" s="29" t="s">
        <v>9</v>
      </c>
      <c r="AD153" s="29" t="s">
        <v>10</v>
      </c>
      <c r="AE153" s="29" t="s">
        <v>11</v>
      </c>
      <c r="AF153" s="29" t="s">
        <v>12</v>
      </c>
      <c r="AG153" s="29" t="s">
        <v>13</v>
      </c>
      <c r="AH153" s="29" t="s">
        <v>14</v>
      </c>
      <c r="AI153" s="32" t="s">
        <v>15</v>
      </c>
      <c r="AJ153" s="46" t="s">
        <v>16</v>
      </c>
      <c r="AK153" s="47" t="s">
        <v>17</v>
      </c>
      <c r="AL153" s="48" t="s">
        <v>18</v>
      </c>
      <c r="AM153" s="39" t="s">
        <v>19</v>
      </c>
      <c r="AN153" s="29" t="s">
        <v>20</v>
      </c>
      <c r="AO153" s="29" t="s">
        <v>21</v>
      </c>
      <c r="AP153" s="29" t="s">
        <v>22</v>
      </c>
      <c r="AQ153" s="29" t="s">
        <v>23</v>
      </c>
      <c r="AR153" s="29" t="s">
        <v>24</v>
      </c>
      <c r="AS153" s="29" t="s">
        <v>25</v>
      </c>
      <c r="AT153" s="30" t="s">
        <v>26</v>
      </c>
    </row>
    <row r="154" spans="41:42" ht="15">
      <c r="AO154" s="14">
        <f>(AE154^4)*3.1416/4/10000</f>
        <v>0</v>
      </c>
      <c r="AP154" s="15" t="e">
        <f>AO154/AE154*10</f>
        <v>#DIV/0!</v>
      </c>
    </row>
    <row r="155" spans="30:38" ht="15">
      <c r="AD155" s="14"/>
      <c r="AE155" s="14"/>
      <c r="AF155" s="14"/>
      <c r="AG155" s="14"/>
      <c r="AH155" s="14"/>
      <c r="AI155" s="14"/>
      <c r="AJ155" s="14"/>
      <c r="AK155" s="14"/>
      <c r="AL155" s="14"/>
    </row>
    <row r="156" spans="28:41" ht="15">
      <c r="AB156" s="257" t="s">
        <v>264</v>
      </c>
      <c r="AC156" s="257" t="s">
        <v>265</v>
      </c>
      <c r="AJ156" s="257" t="s">
        <v>266</v>
      </c>
      <c r="AK156" s="257" t="s">
        <v>267</v>
      </c>
      <c r="AL156" s="257" t="s">
        <v>268</v>
      </c>
      <c r="AM156" s="257" t="s">
        <v>269</v>
      </c>
      <c r="AN156" s="257" t="s">
        <v>270</v>
      </c>
      <c r="AO156" s="257" t="s">
        <v>271</v>
      </c>
    </row>
    <row r="157" spans="28:41" ht="15">
      <c r="AB157" s="258" t="s">
        <v>272</v>
      </c>
      <c r="AC157" s="259">
        <v>4.7</v>
      </c>
      <c r="AJ157" s="259">
        <v>5.93</v>
      </c>
      <c r="AK157" s="259">
        <v>79.36</v>
      </c>
      <c r="AL157" s="259">
        <v>15.36</v>
      </c>
      <c r="AM157" s="260"/>
      <c r="AN157" s="259">
        <v>41.95</v>
      </c>
      <c r="AO157" s="259">
        <v>7.89</v>
      </c>
    </row>
    <row r="158" spans="28:41" ht="15">
      <c r="AB158" s="258" t="s">
        <v>273</v>
      </c>
      <c r="AC158" s="259">
        <v>5.8</v>
      </c>
      <c r="AJ158" s="259">
        <v>7.33</v>
      </c>
      <c r="AK158" s="259">
        <v>96.4</v>
      </c>
      <c r="AL158" s="259">
        <v>18.65</v>
      </c>
      <c r="AM158" s="260"/>
      <c r="AN158" s="259">
        <v>50.74</v>
      </c>
      <c r="AO158" s="259">
        <v>9.66</v>
      </c>
    </row>
    <row r="159" spans="28:41" ht="15">
      <c r="AB159" s="258" t="s">
        <v>274</v>
      </c>
      <c r="AC159" s="259">
        <v>6.86</v>
      </c>
      <c r="AJ159" s="259">
        <v>8.7</v>
      </c>
      <c r="AK159" s="259">
        <v>112.63</v>
      </c>
      <c r="AL159" s="259">
        <v>21.75</v>
      </c>
      <c r="AM159" s="260"/>
      <c r="AN159" s="259">
        <v>59.06</v>
      </c>
      <c r="AO159" s="259">
        <v>11.35</v>
      </c>
    </row>
    <row r="160" spans="28:41" ht="15">
      <c r="AB160" s="258" t="s">
        <v>275</v>
      </c>
      <c r="AC160" s="259">
        <v>4.86</v>
      </c>
      <c r="AJ160" s="259">
        <v>6.05</v>
      </c>
      <c r="AK160" s="259">
        <v>82.15</v>
      </c>
      <c r="AL160" s="259">
        <v>16.75</v>
      </c>
      <c r="AM160" s="260"/>
      <c r="AN160" s="259">
        <v>43.9</v>
      </c>
      <c r="AO160" s="259">
        <v>8.4</v>
      </c>
    </row>
    <row r="161" spans="28:41" ht="15">
      <c r="AB161" s="258" t="s">
        <v>276</v>
      </c>
      <c r="AC161" s="259">
        <v>6</v>
      </c>
      <c r="AJ161" s="259">
        <v>7.58</v>
      </c>
      <c r="AK161" s="259">
        <v>102.55</v>
      </c>
      <c r="AL161" s="259">
        <v>20.51</v>
      </c>
      <c r="AM161" s="260"/>
      <c r="AN161" s="259">
        <v>70.68</v>
      </c>
      <c r="AO161" s="259">
        <v>12.29</v>
      </c>
    </row>
    <row r="162" spans="28:41" ht="15">
      <c r="AB162" s="258" t="s">
        <v>277</v>
      </c>
      <c r="AC162" s="259">
        <v>7.1</v>
      </c>
      <c r="AJ162" s="259">
        <v>9</v>
      </c>
      <c r="AK162" s="259">
        <v>119.73</v>
      </c>
      <c r="AL162" s="259">
        <v>23.94</v>
      </c>
      <c r="AM162" s="260"/>
      <c r="AN162" s="259">
        <v>82.5</v>
      </c>
      <c r="AO162" s="259">
        <v>14.47</v>
      </c>
    </row>
    <row r="163" spans="28:41" ht="15">
      <c r="AB163" s="258" t="s">
        <v>278</v>
      </c>
      <c r="AC163" s="259">
        <v>5.5</v>
      </c>
      <c r="AJ163" s="259">
        <v>6.9</v>
      </c>
      <c r="AK163" s="259">
        <v>130.66</v>
      </c>
      <c r="AL163" s="259">
        <v>21.78</v>
      </c>
      <c r="AM163" s="260"/>
      <c r="AN163" s="259">
        <v>64.54</v>
      </c>
      <c r="AO163" s="259">
        <v>11.13</v>
      </c>
    </row>
    <row r="164" spans="28:41" ht="15">
      <c r="AB164" s="258" t="s">
        <v>279</v>
      </c>
      <c r="AC164" s="259">
        <v>6.8</v>
      </c>
      <c r="AJ164" s="259">
        <v>8.53</v>
      </c>
      <c r="AK164" s="259">
        <v>159.3</v>
      </c>
      <c r="AL164" s="259">
        <v>26.55</v>
      </c>
      <c r="AM164" s="260"/>
      <c r="AN164" s="259">
        <v>78.46</v>
      </c>
      <c r="AO164" s="259">
        <v>13.64</v>
      </c>
    </row>
    <row r="165" spans="28:41" ht="15">
      <c r="AB165" s="258" t="s">
        <v>280</v>
      </c>
      <c r="AC165" s="259">
        <v>8.06</v>
      </c>
      <c r="AJ165" s="259">
        <v>10.12</v>
      </c>
      <c r="AK165" s="259">
        <v>196.39</v>
      </c>
      <c r="AL165" s="259">
        <v>31.06</v>
      </c>
      <c r="AM165" s="260"/>
      <c r="AN165" s="259">
        <v>91.53</v>
      </c>
      <c r="AO165" s="259">
        <v>16.06</v>
      </c>
    </row>
    <row r="166" spans="28:41" ht="15">
      <c r="AB166" s="258" t="s">
        <v>281</v>
      </c>
      <c r="AC166" s="259">
        <v>9.17</v>
      </c>
      <c r="AJ166" s="259">
        <v>11.68</v>
      </c>
      <c r="AK166" s="259">
        <v>211.97</v>
      </c>
      <c r="AL166" s="259">
        <v>35.33</v>
      </c>
      <c r="AM166" s="260"/>
      <c r="AN166" s="259">
        <v>103.8</v>
      </c>
      <c r="AO166" s="259">
        <v>18.37</v>
      </c>
    </row>
    <row r="167" spans="28:41" ht="15">
      <c r="AB167" s="258" t="s">
        <v>282</v>
      </c>
      <c r="AC167" s="259">
        <v>6.14</v>
      </c>
      <c r="AJ167" s="259">
        <v>7.7</v>
      </c>
      <c r="AK167" s="259">
        <v>158.51</v>
      </c>
      <c r="AL167" s="259">
        <v>26.42</v>
      </c>
      <c r="AM167" s="260"/>
      <c r="AN167" s="259">
        <v>132.94</v>
      </c>
      <c r="AO167" s="259">
        <v>17.04</v>
      </c>
    </row>
    <row r="168" spans="28:41" ht="15">
      <c r="AB168" s="258" t="s">
        <v>283</v>
      </c>
      <c r="AC168" s="259">
        <v>7.6</v>
      </c>
      <c r="AJ168" s="259">
        <v>9.53</v>
      </c>
      <c r="AK168" s="259">
        <v>193.82</v>
      </c>
      <c r="AL168" s="259">
        <v>32.3</v>
      </c>
      <c r="AM168" s="260"/>
      <c r="AN168" s="259">
        <v>162.52</v>
      </c>
      <c r="AO168" s="259">
        <v>20.97</v>
      </c>
    </row>
    <row r="169" spans="28:41" ht="15">
      <c r="AB169" s="258" t="s">
        <v>284</v>
      </c>
      <c r="AC169" s="259">
        <v>9.02</v>
      </c>
      <c r="AJ169" s="259">
        <v>11.32</v>
      </c>
      <c r="AK169" s="259">
        <v>227.46</v>
      </c>
      <c r="AL169" s="259">
        <v>37.91</v>
      </c>
      <c r="AM169" s="260"/>
      <c r="AN169" s="259">
        <v>190.71</v>
      </c>
      <c r="AO169" s="259">
        <v>24.77</v>
      </c>
    </row>
    <row r="170" spans="28:41" ht="15">
      <c r="AB170" s="258" t="s">
        <v>285</v>
      </c>
      <c r="AC170" s="259">
        <v>10.27</v>
      </c>
      <c r="AJ170" s="259">
        <v>13.08</v>
      </c>
      <c r="AK170" s="259">
        <v>259.48</v>
      </c>
      <c r="AL170" s="259">
        <v>43.25</v>
      </c>
      <c r="AM170" s="260"/>
      <c r="AN170" s="259">
        <v>217.54</v>
      </c>
      <c r="AO170" s="259">
        <v>28.44</v>
      </c>
    </row>
    <row r="171" spans="28:41" ht="15">
      <c r="AB171" s="258" t="s">
        <v>286</v>
      </c>
      <c r="AC171" s="259">
        <v>7.1</v>
      </c>
      <c r="AJ171" s="259">
        <v>8.9</v>
      </c>
      <c r="AK171" s="259">
        <v>271.25</v>
      </c>
      <c r="AL171" s="259">
        <v>36.17</v>
      </c>
      <c r="AM171" s="260"/>
      <c r="AN171" s="259">
        <v>151.19</v>
      </c>
      <c r="AO171" s="259">
        <v>19.38</v>
      </c>
    </row>
    <row r="172" spans="28:41" ht="15">
      <c r="AB172" s="258" t="s">
        <v>287</v>
      </c>
      <c r="AC172" s="259">
        <v>8.8</v>
      </c>
      <c r="AJ172" s="259">
        <v>11.03</v>
      </c>
      <c r="AK172" s="259">
        <v>332.59</v>
      </c>
      <c r="AL172" s="259">
        <v>44.35</v>
      </c>
      <c r="AM172" s="260"/>
      <c r="AN172" s="259">
        <v>185.05</v>
      </c>
      <c r="AO172" s="259">
        <v>23.88</v>
      </c>
    </row>
    <row r="173" spans="28:41" ht="15">
      <c r="AB173" s="258" t="s">
        <v>288</v>
      </c>
      <c r="AC173" s="259">
        <v>10.46</v>
      </c>
      <c r="AJ173" s="259">
        <v>13.12</v>
      </c>
      <c r="AK173" s="259">
        <v>391.44</v>
      </c>
      <c r="AL173" s="259">
        <v>52.19</v>
      </c>
      <c r="AM173" s="260"/>
      <c r="AN173" s="259">
        <v>217.41</v>
      </c>
      <c r="AO173" s="259">
        <v>28.23</v>
      </c>
    </row>
    <row r="174" spans="28:41" ht="15">
      <c r="AB174" s="258" t="s">
        <v>289</v>
      </c>
      <c r="AC174" s="259">
        <v>11.92</v>
      </c>
      <c r="AJ174" s="259">
        <v>15.18</v>
      </c>
      <c r="AK174" s="259">
        <v>447.82</v>
      </c>
      <c r="AL174" s="259">
        <v>59.71</v>
      </c>
      <c r="AM174" s="260"/>
      <c r="AN174" s="259">
        <v>248.29</v>
      </c>
      <c r="AO174" s="259">
        <v>32.46</v>
      </c>
    </row>
    <row r="175" spans="28:41" ht="15">
      <c r="AB175" s="258" t="s">
        <v>290</v>
      </c>
      <c r="AC175" s="259">
        <v>8.06</v>
      </c>
      <c r="AJ175" s="259">
        <v>10.1</v>
      </c>
      <c r="AK175" s="259">
        <v>424.03</v>
      </c>
      <c r="AL175" s="259">
        <v>47.11</v>
      </c>
      <c r="AM175" s="260"/>
      <c r="AN175" s="259">
        <v>169.45</v>
      </c>
      <c r="AO175" s="259">
        <v>21.72</v>
      </c>
    </row>
    <row r="176" spans="28:41" ht="15">
      <c r="AB176" s="258" t="s">
        <v>291</v>
      </c>
      <c r="AC176" s="259">
        <v>10</v>
      </c>
      <c r="AJ176" s="259">
        <v>12.53</v>
      </c>
      <c r="AK176" s="259">
        <v>521</v>
      </c>
      <c r="AL176" s="259">
        <v>57.89</v>
      </c>
      <c r="AM176" s="260"/>
      <c r="AN176" s="259">
        <v>207.59</v>
      </c>
      <c r="AO176" s="259">
        <v>26.79</v>
      </c>
    </row>
    <row r="177" spans="28:41" ht="15">
      <c r="AB177" s="258" t="s">
        <v>292</v>
      </c>
      <c r="AC177" s="259">
        <v>11.9</v>
      </c>
      <c r="AJ177" s="259">
        <v>14.92</v>
      </c>
      <c r="AK177" s="259">
        <v>614.47</v>
      </c>
      <c r="AL177" s="259">
        <v>68.27</v>
      </c>
      <c r="AM177" s="260"/>
      <c r="AN177" s="259">
        <v>244.1</v>
      </c>
      <c r="AO177" s="259">
        <v>31.7</v>
      </c>
    </row>
    <row r="178" spans="28:41" ht="15">
      <c r="AB178" s="258" t="s">
        <v>293</v>
      </c>
      <c r="AC178" s="259">
        <v>13.56</v>
      </c>
      <c r="AJ178" s="259">
        <v>17.28</v>
      </c>
      <c r="AK178" s="259">
        <v>704.47</v>
      </c>
      <c r="AL178" s="259">
        <v>78.27</v>
      </c>
      <c r="AM178" s="260"/>
      <c r="AN178" s="259">
        <v>279.03</v>
      </c>
      <c r="AO178" s="259">
        <v>36.47</v>
      </c>
    </row>
    <row r="179" spans="28:41" ht="15">
      <c r="AB179" s="258" t="s">
        <v>294</v>
      </c>
      <c r="AC179" s="259">
        <v>8.54</v>
      </c>
      <c r="AJ179" s="259">
        <v>10.7</v>
      </c>
      <c r="AK179" s="259">
        <v>471.26</v>
      </c>
      <c r="AL179" s="259">
        <v>51.41</v>
      </c>
      <c r="AM179" s="260"/>
      <c r="AN179" s="259">
        <v>274.84</v>
      </c>
      <c r="AO179" s="259">
        <v>29.55</v>
      </c>
    </row>
    <row r="180" spans="28:41" ht="15">
      <c r="AB180" s="258" t="s">
        <v>295</v>
      </c>
      <c r="AC180" s="259">
        <v>10.6</v>
      </c>
      <c r="AJ180" s="259">
        <v>13.28</v>
      </c>
      <c r="AK180" s="259">
        <v>579.71</v>
      </c>
      <c r="AL180" s="259">
        <v>63.24</v>
      </c>
      <c r="AM180" s="260"/>
      <c r="AN180" s="259">
        <v>337.65</v>
      </c>
      <c r="AO180" s="259">
        <v>36.5</v>
      </c>
    </row>
    <row r="181" spans="28:41" ht="15">
      <c r="AB181" s="258" t="s">
        <v>296</v>
      </c>
      <c r="AC181" s="259">
        <v>12.62</v>
      </c>
      <c r="AJ181" s="259">
        <v>15.83</v>
      </c>
      <c r="AK181" s="259">
        <v>684.52</v>
      </c>
      <c r="AL181" s="259">
        <v>74.67</v>
      </c>
      <c r="AM181" s="260"/>
      <c r="AN181" s="259">
        <v>398.17</v>
      </c>
      <c r="AO181" s="259">
        <v>43.28</v>
      </c>
    </row>
    <row r="182" spans="28:41" ht="15">
      <c r="AB182" s="258" t="s">
        <v>297</v>
      </c>
      <c r="AC182" s="259">
        <v>14.39</v>
      </c>
      <c r="AJ182" s="259">
        <v>18.33</v>
      </c>
      <c r="AK182" s="259">
        <v>785.73</v>
      </c>
      <c r="AL182" s="259">
        <v>85.7</v>
      </c>
      <c r="AM182" s="260"/>
      <c r="AN182" s="259">
        <v>456.46</v>
      </c>
      <c r="AO182" s="259">
        <v>49.89</v>
      </c>
    </row>
    <row r="183" spans="28:41" ht="15">
      <c r="AB183" s="258" t="s">
        <v>298</v>
      </c>
      <c r="AC183" s="259">
        <v>16.57</v>
      </c>
      <c r="AJ183" s="259">
        <v>20.8</v>
      </c>
      <c r="AK183" s="259">
        <v>883.4</v>
      </c>
      <c r="AL183" s="259">
        <v>96.34</v>
      </c>
      <c r="AM183" s="260"/>
      <c r="AN183" s="259">
        <v>512.55</v>
      </c>
      <c r="AO183" s="259">
        <v>56.32</v>
      </c>
    </row>
  </sheetData>
  <sheetProtection sheet="1" objects="1" scenarios="1"/>
  <mergeCells count="41">
    <mergeCell ref="B51:G51"/>
    <mergeCell ref="B52:G52"/>
    <mergeCell ref="B53:G53"/>
    <mergeCell ref="S16:T16"/>
    <mergeCell ref="B42:C42"/>
    <mergeCell ref="B38:C38"/>
    <mergeCell ref="B43:C43"/>
    <mergeCell ref="B45:C45"/>
    <mergeCell ref="B44:C44"/>
    <mergeCell ref="S10:T10"/>
    <mergeCell ref="B10:C10"/>
    <mergeCell ref="B28:C28"/>
    <mergeCell ref="B41:C41"/>
    <mergeCell ref="B36:C36"/>
    <mergeCell ref="B31:C31"/>
    <mergeCell ref="B37:C37"/>
    <mergeCell ref="B26:C26"/>
    <mergeCell ref="B29:C29"/>
    <mergeCell ref="B30:C30"/>
    <mergeCell ref="J5:L5"/>
    <mergeCell ref="D7:E7"/>
    <mergeCell ref="B7:C7"/>
    <mergeCell ref="B25:C25"/>
    <mergeCell ref="B8:C8"/>
    <mergeCell ref="B9:C9"/>
    <mergeCell ref="B21:C21"/>
    <mergeCell ref="B18:C18"/>
    <mergeCell ref="J18:K18"/>
    <mergeCell ref="B2:F2"/>
    <mergeCell ref="B24:C24"/>
    <mergeCell ref="B22:C22"/>
    <mergeCell ref="B23:C23"/>
    <mergeCell ref="B19:C19"/>
    <mergeCell ref="D19:E19"/>
    <mergeCell ref="B17:C17"/>
    <mergeCell ref="C5:F5"/>
    <mergeCell ref="B3:F3"/>
    <mergeCell ref="N8:O8"/>
    <mergeCell ref="N9:O9"/>
    <mergeCell ref="N40:P40"/>
    <mergeCell ref="N34:P34"/>
  </mergeCells>
  <conditionalFormatting sqref="D45:D46">
    <cfRule type="cellIs" priority="1" dxfId="0" operator="lessThan" stopIfTrue="1">
      <formula>IF(J38=5,0,$E$45)</formula>
    </cfRule>
  </conditionalFormatting>
  <conditionalFormatting sqref="G42 F45:F46">
    <cfRule type="expression" priority="2" dxfId="0" stopIfTrue="1">
      <formula>$D$45&lt;$E$45</formula>
    </cfRule>
  </conditionalFormatting>
  <conditionalFormatting sqref="D37:E37 D38:D39">
    <cfRule type="cellIs" priority="3" dxfId="0" operator="greaterThan" stopIfTrue="1">
      <formula>$D$9</formula>
    </cfRule>
  </conditionalFormatting>
  <conditionalFormatting sqref="F38:F39">
    <cfRule type="expression" priority="4" dxfId="0" stopIfTrue="1">
      <formula>$D$37&gt;$D$9</formula>
    </cfRule>
  </conditionalFormatting>
  <printOptions/>
  <pageMargins left="0.75" right="0.75" top="1" bottom="1" header="0.5" footer="0.5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83"/>
  <sheetViews>
    <sheetView workbookViewId="0" topLeftCell="A1">
      <selection activeCell="J1" sqref="J1"/>
    </sheetView>
  </sheetViews>
  <sheetFormatPr defaultColWidth="9.140625" defaultRowHeight="12.75"/>
  <cols>
    <col min="1" max="1" width="8.421875" style="3" customWidth="1"/>
    <col min="2" max="2" width="15.421875" style="3" customWidth="1"/>
    <col min="3" max="3" width="12.28125" style="4" customWidth="1"/>
    <col min="4" max="4" width="13.28125" style="3" customWidth="1"/>
    <col min="5" max="5" width="12.7109375" style="5" customWidth="1"/>
    <col min="6" max="6" width="13.140625" style="3" customWidth="1"/>
    <col min="7" max="7" width="6.00390625" style="3" customWidth="1"/>
    <col min="8" max="8" width="2.8515625" style="3" customWidth="1"/>
    <col min="9" max="9" width="7.7109375" style="3" customWidth="1"/>
    <col min="10" max="10" width="13.28125" style="3" customWidth="1"/>
    <col min="11" max="11" width="10.7109375" style="3" customWidth="1"/>
    <col min="12" max="12" width="11.7109375" style="3" customWidth="1"/>
    <col min="13" max="13" width="11.57421875" style="133" customWidth="1"/>
    <col min="14" max="14" width="17.28125" style="8" bestFit="1" customWidth="1"/>
    <col min="15" max="15" width="12.57421875" style="8" bestFit="1" customWidth="1"/>
    <col min="16" max="16" width="10.28125" style="8" customWidth="1"/>
    <col min="17" max="17" width="9.00390625" style="8" customWidth="1"/>
    <col min="18" max="18" width="8.7109375" style="3" customWidth="1"/>
    <col min="19" max="19" width="9.00390625" style="3" customWidth="1"/>
    <col min="20" max="20" width="8.421875" style="3" customWidth="1"/>
    <col min="21" max="21" width="2.421875" style="3" customWidth="1"/>
    <col min="22" max="22" width="10.7109375" style="3" customWidth="1"/>
    <col min="23" max="26" width="8.8515625" style="3" customWidth="1"/>
    <col min="27" max="27" width="8.8515625" style="3" hidden="1" customWidth="1"/>
    <col min="28" max="28" width="26.57421875" style="3" hidden="1" customWidth="1"/>
    <col min="29" max="30" width="8.8515625" style="3" hidden="1" customWidth="1"/>
    <col min="31" max="35" width="9.00390625" style="3" hidden="1" customWidth="1"/>
    <col min="36" max="36" width="9.7109375" style="3" hidden="1" customWidth="1"/>
    <col min="37" max="37" width="13.00390625" style="3" hidden="1" customWidth="1"/>
    <col min="38" max="39" width="11.28125" style="3" hidden="1" customWidth="1"/>
    <col min="40" max="40" width="9.00390625" style="3" hidden="1" customWidth="1"/>
    <col min="41" max="41" width="11.28125" style="3" hidden="1" customWidth="1"/>
    <col min="42" max="42" width="9.00390625" style="3" hidden="1" customWidth="1"/>
    <col min="43" max="43" width="9.421875" style="3" hidden="1" customWidth="1"/>
    <col min="44" max="45" width="9.00390625" style="3" hidden="1" customWidth="1"/>
    <col min="46" max="46" width="14.140625" style="3" hidden="1" customWidth="1"/>
    <col min="47" max="47" width="8.8515625" style="3" hidden="1" customWidth="1"/>
    <col min="48" max="48" width="9.00390625" style="3" hidden="1" customWidth="1"/>
    <col min="49" max="52" width="8.8515625" style="3" hidden="1" customWidth="1"/>
    <col min="53" max="16384" width="8.8515625" style="3" customWidth="1"/>
  </cols>
  <sheetData>
    <row r="1" spans="1:46" ht="15.75" thickBot="1">
      <c r="A1" s="99"/>
      <c r="B1" s="99"/>
      <c r="C1" s="100"/>
      <c r="D1" s="99"/>
      <c r="E1" s="101"/>
      <c r="F1" s="99"/>
      <c r="G1" s="99"/>
      <c r="H1" s="116"/>
      <c r="J1" s="86" t="s">
        <v>354</v>
      </c>
      <c r="M1" s="4"/>
      <c r="N1" s="66" t="s">
        <v>256</v>
      </c>
      <c r="O1" s="9" t="s">
        <v>157</v>
      </c>
      <c r="P1" s="230" t="s">
        <v>144</v>
      </c>
      <c r="Q1" s="241" t="s">
        <v>143</v>
      </c>
      <c r="R1" s="238" t="s">
        <v>152</v>
      </c>
      <c r="S1" s="8"/>
      <c r="T1" s="256" t="s">
        <v>259</v>
      </c>
      <c r="U1" s="119"/>
      <c r="V1" s="250"/>
      <c r="AB1" s="28" t="s">
        <v>8</v>
      </c>
      <c r="AC1" s="29" t="s">
        <v>9</v>
      </c>
      <c r="AD1" s="29" t="s">
        <v>10</v>
      </c>
      <c r="AE1" s="29" t="s">
        <v>11</v>
      </c>
      <c r="AF1" s="29" t="s">
        <v>12</v>
      </c>
      <c r="AG1" s="29" t="s">
        <v>13</v>
      </c>
      <c r="AH1" s="29" t="s">
        <v>14</v>
      </c>
      <c r="AI1" s="32" t="s">
        <v>15</v>
      </c>
      <c r="AJ1" s="46" t="s">
        <v>16</v>
      </c>
      <c r="AK1" s="47" t="s">
        <v>17</v>
      </c>
      <c r="AL1" s="48" t="s">
        <v>18</v>
      </c>
      <c r="AM1" s="39" t="s">
        <v>19</v>
      </c>
      <c r="AN1" s="29" t="s">
        <v>20</v>
      </c>
      <c r="AO1" s="29" t="s">
        <v>21</v>
      </c>
      <c r="AP1" s="29" t="s">
        <v>22</v>
      </c>
      <c r="AQ1" s="29" t="s">
        <v>23</v>
      </c>
      <c r="AR1" s="29" t="s">
        <v>24</v>
      </c>
      <c r="AS1" s="29" t="s">
        <v>25</v>
      </c>
      <c r="AT1" s="30" t="s">
        <v>26</v>
      </c>
    </row>
    <row r="2" spans="1:46" ht="16.5" thickBot="1">
      <c r="A2" s="99"/>
      <c r="B2" s="291" t="s">
        <v>192</v>
      </c>
      <c r="C2" s="291"/>
      <c r="D2" s="291"/>
      <c r="E2" s="291"/>
      <c r="F2" s="291"/>
      <c r="G2" s="99"/>
      <c r="H2" s="116"/>
      <c r="J2" s="126" t="s">
        <v>193</v>
      </c>
      <c r="K2" s="127"/>
      <c r="M2" s="74">
        <f>IF($J$13=144,"===&gt;&gt;","")</f>
      </c>
      <c r="N2" s="64" t="s">
        <v>146</v>
      </c>
      <c r="O2" s="89">
        <v>20</v>
      </c>
      <c r="P2" s="240">
        <v>150</v>
      </c>
      <c r="Q2" s="242" t="s">
        <v>258</v>
      </c>
      <c r="R2" s="239" t="s">
        <v>200</v>
      </c>
      <c r="S2" s="255"/>
      <c r="T2" s="218" t="s">
        <v>260</v>
      </c>
      <c r="U2" s="119"/>
      <c r="AB2" s="18" t="s">
        <v>27</v>
      </c>
      <c r="AC2" s="19">
        <v>16.7</v>
      </c>
      <c r="AD2" s="19">
        <v>96</v>
      </c>
      <c r="AE2" s="19">
        <v>100</v>
      </c>
      <c r="AF2" s="19">
        <v>5</v>
      </c>
      <c r="AG2" s="19">
        <v>8</v>
      </c>
      <c r="AH2" s="19">
        <v>12</v>
      </c>
      <c r="AI2" s="33">
        <v>0</v>
      </c>
      <c r="AJ2" s="49">
        <v>21.24</v>
      </c>
      <c r="AK2" s="19">
        <v>349.2</v>
      </c>
      <c r="AL2" s="50">
        <v>72.76</v>
      </c>
      <c r="AM2" s="40">
        <v>83.01</v>
      </c>
      <c r="AN2" s="19">
        <v>4.06</v>
      </c>
      <c r="AO2" s="19">
        <v>133.8</v>
      </c>
      <c r="AP2" s="19">
        <v>26.76</v>
      </c>
      <c r="AQ2" s="19">
        <v>41.14</v>
      </c>
      <c r="AR2" s="19">
        <v>2.51</v>
      </c>
      <c r="AS2" s="19">
        <v>5.24</v>
      </c>
      <c r="AT2" s="20">
        <v>2580</v>
      </c>
    </row>
    <row r="3" spans="1:46" ht="12" customHeight="1">
      <c r="A3" s="99"/>
      <c r="B3" s="296" t="s">
        <v>262</v>
      </c>
      <c r="C3" s="296"/>
      <c r="D3" s="296"/>
      <c r="E3" s="296"/>
      <c r="F3" s="296"/>
      <c r="G3" s="99"/>
      <c r="H3" s="116"/>
      <c r="M3" s="74">
        <f>IF($J$13=145,"===&gt;&gt;","")</f>
      </c>
      <c r="N3" s="65" t="s">
        <v>147</v>
      </c>
      <c r="O3" s="91">
        <v>190</v>
      </c>
      <c r="P3" s="90">
        <v>280</v>
      </c>
      <c r="Q3" s="92">
        <v>8</v>
      </c>
      <c r="R3" s="63"/>
      <c r="S3" s="8"/>
      <c r="U3" s="119"/>
      <c r="AB3" s="10" t="s">
        <v>29</v>
      </c>
      <c r="AC3" s="1">
        <v>19.9</v>
      </c>
      <c r="AD3" s="1">
        <v>114</v>
      </c>
      <c r="AE3" s="1">
        <v>120</v>
      </c>
      <c r="AF3" s="1">
        <v>5</v>
      </c>
      <c r="AG3" s="1">
        <v>8</v>
      </c>
      <c r="AH3" s="1">
        <v>12</v>
      </c>
      <c r="AI3" s="34">
        <v>0</v>
      </c>
      <c r="AJ3" s="51">
        <v>25.34</v>
      </c>
      <c r="AK3" s="1">
        <v>606.2</v>
      </c>
      <c r="AL3" s="52">
        <v>106.3</v>
      </c>
      <c r="AM3" s="41">
        <v>119.5</v>
      </c>
      <c r="AN3" s="1">
        <v>4.89</v>
      </c>
      <c r="AO3" s="1">
        <v>230.9</v>
      </c>
      <c r="AP3" s="1">
        <v>38.48</v>
      </c>
      <c r="AQ3" s="1">
        <v>58.85</v>
      </c>
      <c r="AR3" s="1">
        <v>3.02</v>
      </c>
      <c r="AS3" s="1">
        <v>5.99</v>
      </c>
      <c r="AT3" s="11">
        <v>6470</v>
      </c>
    </row>
    <row r="4" spans="1:46" ht="12" customHeight="1" thickBot="1">
      <c r="A4" s="99"/>
      <c r="B4" s="99"/>
      <c r="C4" s="100"/>
      <c r="D4" s="99"/>
      <c r="E4" s="101"/>
      <c r="F4" s="99"/>
      <c r="G4" s="99"/>
      <c r="H4" s="116"/>
      <c r="J4" s="86" t="s">
        <v>257</v>
      </c>
      <c r="M4" s="74">
        <f>IF($J$13=146,"===&gt;&gt;","")</f>
      </c>
      <c r="N4" s="65" t="s">
        <v>148</v>
      </c>
      <c r="O4" s="91">
        <v>100</v>
      </c>
      <c r="P4" s="31"/>
      <c r="Q4" s="90">
        <v>3</v>
      </c>
      <c r="R4" s="215"/>
      <c r="S4" s="8"/>
      <c r="U4" s="119"/>
      <c r="AB4" s="10" t="s">
        <v>30</v>
      </c>
      <c r="AC4" s="1">
        <v>24.7</v>
      </c>
      <c r="AD4" s="1">
        <v>133</v>
      </c>
      <c r="AE4" s="1">
        <v>140</v>
      </c>
      <c r="AF4" s="1">
        <v>5.5</v>
      </c>
      <c r="AG4" s="1">
        <v>8.5</v>
      </c>
      <c r="AH4" s="1">
        <v>12</v>
      </c>
      <c r="AI4" s="34">
        <v>0</v>
      </c>
      <c r="AJ4" s="51">
        <v>31.42</v>
      </c>
      <c r="AK4" s="1">
        <v>1033</v>
      </c>
      <c r="AL4" s="52">
        <v>155.4</v>
      </c>
      <c r="AM4" s="41">
        <v>173.5</v>
      </c>
      <c r="AN4" s="1">
        <v>5.73</v>
      </c>
      <c r="AO4" s="1">
        <v>389.3</v>
      </c>
      <c r="AP4" s="1">
        <v>55.62</v>
      </c>
      <c r="AQ4" s="1">
        <v>84.85</v>
      </c>
      <c r="AR4" s="1">
        <v>3.52</v>
      </c>
      <c r="AS4" s="1">
        <v>8.13</v>
      </c>
      <c r="AT4" s="11">
        <v>15060</v>
      </c>
    </row>
    <row r="5" spans="1:46" ht="16.5" thickBot="1">
      <c r="A5" s="99"/>
      <c r="B5" s="243" t="s">
        <v>187</v>
      </c>
      <c r="C5" s="295" t="str">
        <f>J5</f>
        <v>ARCARECCI OMEGA COPERTURA</v>
      </c>
      <c r="D5" s="295"/>
      <c r="E5" s="295"/>
      <c r="F5" s="295"/>
      <c r="G5" s="99"/>
      <c r="H5" s="116"/>
      <c r="J5" s="279" t="s">
        <v>362</v>
      </c>
      <c r="K5" s="280"/>
      <c r="L5" s="297"/>
      <c r="M5" s="74">
        <f>IF($J$13=147,"===&gt;&gt;","")</f>
      </c>
      <c r="N5" s="65" t="s">
        <v>154</v>
      </c>
      <c r="O5" s="91">
        <v>700</v>
      </c>
      <c r="P5" s="90">
        <v>700</v>
      </c>
      <c r="Q5" s="90">
        <v>50</v>
      </c>
      <c r="R5" s="233">
        <v>50</v>
      </c>
      <c r="S5" s="251" t="s">
        <v>246</v>
      </c>
      <c r="T5" s="253">
        <f>AI148</f>
        <v>506.48148148148147</v>
      </c>
      <c r="U5" s="119"/>
      <c r="AB5" s="10" t="s">
        <v>31</v>
      </c>
      <c r="AC5" s="1">
        <v>30.4</v>
      </c>
      <c r="AD5" s="1">
        <v>152</v>
      </c>
      <c r="AE5" s="1">
        <v>160</v>
      </c>
      <c r="AF5" s="1">
        <v>6</v>
      </c>
      <c r="AG5" s="1">
        <v>9</v>
      </c>
      <c r="AH5" s="1">
        <v>15</v>
      </c>
      <c r="AI5" s="34">
        <v>0</v>
      </c>
      <c r="AJ5" s="51">
        <v>38.77</v>
      </c>
      <c r="AK5" s="1">
        <v>1673</v>
      </c>
      <c r="AL5" s="52">
        <v>220.1</v>
      </c>
      <c r="AM5" s="41">
        <v>245.1</v>
      </c>
      <c r="AN5" s="1">
        <v>6.57</v>
      </c>
      <c r="AO5" s="1">
        <v>615.6</v>
      </c>
      <c r="AP5" s="1">
        <v>76.95</v>
      </c>
      <c r="AQ5" s="1">
        <v>117.6</v>
      </c>
      <c r="AR5" s="1">
        <v>3.98</v>
      </c>
      <c r="AS5" s="1">
        <v>12.19</v>
      </c>
      <c r="AT5" s="11">
        <v>31410</v>
      </c>
    </row>
    <row r="6" spans="1:46" ht="16.5" thickBot="1">
      <c r="A6" s="99"/>
      <c r="B6" s="103"/>
      <c r="C6" s="106"/>
      <c r="D6" s="103"/>
      <c r="E6" s="107"/>
      <c r="F6" s="103"/>
      <c r="G6" s="99"/>
      <c r="H6" s="116"/>
      <c r="J6" s="266"/>
      <c r="M6" s="74">
        <f>IF($J$13=148,"===&gt;&gt;","")</f>
      </c>
      <c r="N6" s="212" t="s">
        <v>245</v>
      </c>
      <c r="O6" s="214">
        <v>50</v>
      </c>
      <c r="P6" s="231">
        <v>100</v>
      </c>
      <c r="Q6" s="231">
        <v>2.5</v>
      </c>
      <c r="R6" s="90">
        <v>2.5</v>
      </c>
      <c r="S6" s="252">
        <v>60</v>
      </c>
      <c r="T6" s="254">
        <f>AI149</f>
        <v>47.62195121951219</v>
      </c>
      <c r="U6" s="119"/>
      <c r="AB6" s="10" t="s">
        <v>32</v>
      </c>
      <c r="AC6" s="1">
        <v>36</v>
      </c>
      <c r="AD6" s="1">
        <v>171</v>
      </c>
      <c r="AE6" s="1">
        <v>180</v>
      </c>
      <c r="AF6" s="1">
        <v>6</v>
      </c>
      <c r="AG6" s="1">
        <v>9.5</v>
      </c>
      <c r="AH6" s="1">
        <v>15</v>
      </c>
      <c r="AI6" s="34">
        <v>0</v>
      </c>
      <c r="AJ6" s="51">
        <v>45.25</v>
      </c>
      <c r="AK6" s="1">
        <v>2510</v>
      </c>
      <c r="AL6" s="52">
        <v>293.6</v>
      </c>
      <c r="AM6" s="41">
        <v>324.9</v>
      </c>
      <c r="AN6" s="1">
        <v>7.45</v>
      </c>
      <c r="AO6" s="1">
        <v>924.6</v>
      </c>
      <c r="AP6" s="1">
        <v>102.7</v>
      </c>
      <c r="AQ6" s="1">
        <v>156.5</v>
      </c>
      <c r="AR6" s="1">
        <v>4.52</v>
      </c>
      <c r="AS6" s="1">
        <v>14.8</v>
      </c>
      <c r="AT6" s="11">
        <v>60210</v>
      </c>
    </row>
    <row r="7" spans="1:46" ht="16.5" thickBot="1">
      <c r="A7" s="99"/>
      <c r="B7" s="295" t="s">
        <v>170</v>
      </c>
      <c r="C7" s="295"/>
      <c r="D7" s="295" t="str">
        <f>INDEX(N11:P19,J9,1)</f>
        <v>Acciaio Fe360</v>
      </c>
      <c r="E7" s="295"/>
      <c r="F7" s="103"/>
      <c r="G7" s="99"/>
      <c r="H7" s="116"/>
      <c r="J7" s="86" t="s">
        <v>155</v>
      </c>
      <c r="M7" s="74">
        <f>IF($J$13=149,"===&gt;&gt;","")</f>
      </c>
      <c r="N7" s="212" t="s">
        <v>149</v>
      </c>
      <c r="O7" s="214">
        <v>100</v>
      </c>
      <c r="P7" s="213"/>
      <c r="Q7" s="213"/>
      <c r="R7" s="232"/>
      <c r="S7" s="8"/>
      <c r="U7" s="119"/>
      <c r="AB7" s="10" t="s">
        <v>33</v>
      </c>
      <c r="AC7" s="1">
        <v>42.3</v>
      </c>
      <c r="AD7" s="1">
        <v>190</v>
      </c>
      <c r="AE7" s="1">
        <v>200</v>
      </c>
      <c r="AF7" s="1">
        <v>6.5</v>
      </c>
      <c r="AG7" s="1">
        <v>10</v>
      </c>
      <c r="AH7" s="1">
        <v>18</v>
      </c>
      <c r="AI7" s="34">
        <v>0</v>
      </c>
      <c r="AJ7" s="51">
        <v>53.83</v>
      </c>
      <c r="AK7" s="1">
        <v>3692</v>
      </c>
      <c r="AL7" s="52">
        <v>388.6</v>
      </c>
      <c r="AM7" s="41">
        <v>429.5</v>
      </c>
      <c r="AN7" s="1">
        <v>8.28</v>
      </c>
      <c r="AO7" s="1">
        <v>1336</v>
      </c>
      <c r="AP7" s="1">
        <v>133.6</v>
      </c>
      <c r="AQ7" s="1">
        <v>203.8</v>
      </c>
      <c r="AR7" s="1">
        <v>4.98</v>
      </c>
      <c r="AS7" s="1">
        <v>20.98</v>
      </c>
      <c r="AT7" s="11">
        <v>108000</v>
      </c>
    </row>
    <row r="8" spans="1:46" ht="15.75">
      <c r="A8" s="99"/>
      <c r="B8" s="292" t="s">
        <v>139</v>
      </c>
      <c r="C8" s="292"/>
      <c r="D8" s="108">
        <f>IF(AND($J$9&gt;3,$J$9&lt;8),M12,M12)</f>
        <v>2100000</v>
      </c>
      <c r="E8" s="107" t="s">
        <v>179</v>
      </c>
      <c r="F8" s="103"/>
      <c r="G8" s="99"/>
      <c r="H8" s="116"/>
      <c r="J8" s="67"/>
      <c r="K8" s="68"/>
      <c r="M8" s="74"/>
      <c r="N8" s="281" t="s">
        <v>243</v>
      </c>
      <c r="O8" s="282"/>
      <c r="P8" s="219" t="s">
        <v>207</v>
      </c>
      <c r="Q8" s="219" t="s">
        <v>338</v>
      </c>
      <c r="R8" s="220" t="s">
        <v>339</v>
      </c>
      <c r="S8" s="219" t="s">
        <v>340</v>
      </c>
      <c r="T8" s="220" t="s">
        <v>341</v>
      </c>
      <c r="U8" s="128"/>
      <c r="AB8" s="10" t="s">
        <v>34</v>
      </c>
      <c r="AC8" s="1">
        <v>50.5</v>
      </c>
      <c r="AD8" s="1">
        <v>210</v>
      </c>
      <c r="AE8" s="1">
        <v>220</v>
      </c>
      <c r="AF8" s="1">
        <v>7</v>
      </c>
      <c r="AG8" s="1">
        <v>11</v>
      </c>
      <c r="AH8" s="1">
        <v>18</v>
      </c>
      <c r="AI8" s="34">
        <v>0</v>
      </c>
      <c r="AJ8" s="51">
        <v>64.34</v>
      </c>
      <c r="AK8" s="1">
        <v>5410</v>
      </c>
      <c r="AL8" s="52">
        <v>515.2</v>
      </c>
      <c r="AM8" s="41">
        <v>568.5</v>
      </c>
      <c r="AN8" s="1">
        <v>9.17</v>
      </c>
      <c r="AO8" s="1">
        <v>1955</v>
      </c>
      <c r="AP8" s="1">
        <v>177.7</v>
      </c>
      <c r="AQ8" s="1">
        <v>270.6</v>
      </c>
      <c r="AR8" s="1">
        <v>5.51</v>
      </c>
      <c r="AS8" s="1">
        <v>28.46</v>
      </c>
      <c r="AT8" s="11">
        <v>193300</v>
      </c>
    </row>
    <row r="9" spans="1:46" ht="16.5" thickBot="1">
      <c r="A9" s="99"/>
      <c r="B9" s="292" t="s">
        <v>319</v>
      </c>
      <c r="C9" s="292"/>
      <c r="D9" s="108">
        <f>INDEX(N11:P19,J9,3)</f>
        <v>1600</v>
      </c>
      <c r="E9" s="107" t="s">
        <v>179</v>
      </c>
      <c r="F9" s="103"/>
      <c r="G9" s="99"/>
      <c r="H9" s="116"/>
      <c r="J9" s="96">
        <v>1</v>
      </c>
      <c r="K9" s="7"/>
      <c r="M9" s="74">
        <f>IF($J$13=150,"===&gt;&gt;","")</f>
      </c>
      <c r="N9" s="283" t="s">
        <v>244</v>
      </c>
      <c r="O9" s="284"/>
      <c r="P9" s="221">
        <v>10</v>
      </c>
      <c r="Q9" s="221">
        <v>100</v>
      </c>
      <c r="R9" s="222">
        <v>50</v>
      </c>
      <c r="S9" s="221">
        <v>80</v>
      </c>
      <c r="T9" s="222">
        <v>40</v>
      </c>
      <c r="U9" s="128"/>
      <c r="AB9" s="10" t="s">
        <v>35</v>
      </c>
      <c r="AC9" s="1">
        <v>60.3</v>
      </c>
      <c r="AD9" s="1">
        <v>230</v>
      </c>
      <c r="AE9" s="1">
        <v>240</v>
      </c>
      <c r="AF9" s="1">
        <v>7.5</v>
      </c>
      <c r="AG9" s="1">
        <v>12</v>
      </c>
      <c r="AH9" s="1">
        <v>21</v>
      </c>
      <c r="AI9" s="34">
        <v>0</v>
      </c>
      <c r="AJ9" s="51">
        <v>76.84</v>
      </c>
      <c r="AK9" s="1">
        <v>7763</v>
      </c>
      <c r="AL9" s="52">
        <v>675.1</v>
      </c>
      <c r="AM9" s="41">
        <v>744.6</v>
      </c>
      <c r="AN9" s="1">
        <v>10.05</v>
      </c>
      <c r="AO9" s="1">
        <v>2769</v>
      </c>
      <c r="AP9" s="1">
        <v>230.7</v>
      </c>
      <c r="AQ9" s="1">
        <v>351.7</v>
      </c>
      <c r="AR9" s="1">
        <v>6</v>
      </c>
      <c r="AS9" s="1">
        <v>41.55</v>
      </c>
      <c r="AT9" s="11">
        <v>328500</v>
      </c>
    </row>
    <row r="10" spans="1:46" ht="15.75" thickBot="1">
      <c r="A10" s="99"/>
      <c r="B10" s="292" t="s">
        <v>236</v>
      </c>
      <c r="C10" s="292"/>
      <c r="D10" s="103">
        <f>INDEX(N11:Q19,J9,4)</f>
        <v>7860</v>
      </c>
      <c r="E10" s="107" t="s">
        <v>237</v>
      </c>
      <c r="F10" s="103"/>
      <c r="G10" s="99"/>
      <c r="H10" s="116"/>
      <c r="J10" s="244">
        <f>IF($J$9=9,"Inserire i dati a lato","")</f>
      </c>
      <c r="N10" s="216" t="s">
        <v>170</v>
      </c>
      <c r="O10" s="217" t="s">
        <v>168</v>
      </c>
      <c r="P10" s="218" t="s">
        <v>169</v>
      </c>
      <c r="Q10" s="218" t="s">
        <v>234</v>
      </c>
      <c r="R10" s="217"/>
      <c r="S10" s="300" t="s">
        <v>313</v>
      </c>
      <c r="T10" s="301"/>
      <c r="U10" s="128"/>
      <c r="AB10" s="10" t="s">
        <v>36</v>
      </c>
      <c r="AC10" s="1">
        <v>68.2</v>
      </c>
      <c r="AD10" s="1">
        <v>250</v>
      </c>
      <c r="AE10" s="1">
        <v>260</v>
      </c>
      <c r="AF10" s="1">
        <v>7.5</v>
      </c>
      <c r="AG10" s="1">
        <v>12.5</v>
      </c>
      <c r="AH10" s="1">
        <v>24</v>
      </c>
      <c r="AI10" s="34">
        <v>0</v>
      </c>
      <c r="AJ10" s="51">
        <v>86.82</v>
      </c>
      <c r="AK10" s="1">
        <v>10450</v>
      </c>
      <c r="AL10" s="52">
        <v>836.4</v>
      </c>
      <c r="AM10" s="41">
        <v>919.8</v>
      </c>
      <c r="AN10" s="1">
        <v>10.97</v>
      </c>
      <c r="AO10" s="1">
        <v>3668</v>
      </c>
      <c r="AP10" s="1">
        <v>282.1</v>
      </c>
      <c r="AQ10" s="1">
        <v>430.2</v>
      </c>
      <c r="AR10" s="1">
        <v>6.5</v>
      </c>
      <c r="AS10" s="1">
        <v>52.37</v>
      </c>
      <c r="AT10" s="11">
        <v>516400</v>
      </c>
    </row>
    <row r="11" spans="1:46" ht="15.75" thickBot="1">
      <c r="A11" s="99"/>
      <c r="B11" s="243" t="s">
        <v>253</v>
      </c>
      <c r="C11" s="86">
        <f>L13</f>
        <v>1</v>
      </c>
      <c r="D11" s="109" t="str">
        <f>INDEX($AB$2:$AL$157,$J$13,1)</f>
        <v>OM120x80x40x3</v>
      </c>
      <c r="F11" s="103"/>
      <c r="G11" s="99"/>
      <c r="H11" s="116"/>
      <c r="J11" s="86" t="s">
        <v>156</v>
      </c>
      <c r="N11" s="72" t="s">
        <v>132</v>
      </c>
      <c r="O11" s="77">
        <v>2100000</v>
      </c>
      <c r="P11" s="78">
        <v>1600</v>
      </c>
      <c r="Q11" s="78">
        <v>7860</v>
      </c>
      <c r="R11" s="265"/>
      <c r="S11" s="261" t="s">
        <v>314</v>
      </c>
      <c r="T11" s="95">
        <v>1</v>
      </c>
      <c r="U11" s="128"/>
      <c r="AB11" s="10" t="s">
        <v>37</v>
      </c>
      <c r="AC11" s="1">
        <v>76.4</v>
      </c>
      <c r="AD11" s="1">
        <v>270</v>
      </c>
      <c r="AE11" s="1">
        <v>280</v>
      </c>
      <c r="AF11" s="1">
        <v>8</v>
      </c>
      <c r="AG11" s="1">
        <v>13</v>
      </c>
      <c r="AH11" s="1">
        <v>24</v>
      </c>
      <c r="AI11" s="34">
        <v>0</v>
      </c>
      <c r="AJ11" s="51">
        <v>97.26</v>
      </c>
      <c r="AK11" s="1">
        <v>13670</v>
      </c>
      <c r="AL11" s="52">
        <v>1013</v>
      </c>
      <c r="AM11" s="41">
        <v>1112</v>
      </c>
      <c r="AN11" s="1">
        <v>11.86</v>
      </c>
      <c r="AO11" s="1">
        <v>4763</v>
      </c>
      <c r="AP11" s="1">
        <v>340.2</v>
      </c>
      <c r="AQ11" s="1">
        <v>518.1</v>
      </c>
      <c r="AR11" s="1">
        <v>7</v>
      </c>
      <c r="AS11" s="1">
        <v>62.1</v>
      </c>
      <c r="AT11" s="11">
        <v>785400</v>
      </c>
    </row>
    <row r="12" spans="1:46" ht="16.5" thickBot="1">
      <c r="A12" s="99"/>
      <c r="B12" s="103"/>
      <c r="C12" s="106" t="s">
        <v>140</v>
      </c>
      <c r="D12" s="110">
        <f>M13*$C$11</f>
        <v>11.32</v>
      </c>
      <c r="E12" s="107" t="s">
        <v>183</v>
      </c>
      <c r="H12" s="116"/>
      <c r="J12" s="67"/>
      <c r="K12" s="68"/>
      <c r="L12" s="150" t="s">
        <v>204</v>
      </c>
      <c r="M12" s="211">
        <f>INDEX(N11:P19,J9,2)</f>
        <v>2100000</v>
      </c>
      <c r="N12" s="75" t="s">
        <v>133</v>
      </c>
      <c r="O12" s="77">
        <v>2100000</v>
      </c>
      <c r="P12" s="78">
        <v>1900</v>
      </c>
      <c r="Q12" s="78">
        <v>7860</v>
      </c>
      <c r="R12" s="265"/>
      <c r="S12" s="261" t="s">
        <v>315</v>
      </c>
      <c r="T12" s="95">
        <v>1</v>
      </c>
      <c r="U12" s="128"/>
      <c r="AB12" s="10" t="s">
        <v>38</v>
      </c>
      <c r="AC12" s="1">
        <v>88.3</v>
      </c>
      <c r="AD12" s="1">
        <v>290</v>
      </c>
      <c r="AE12" s="1">
        <v>300</v>
      </c>
      <c r="AF12" s="1">
        <v>8.5</v>
      </c>
      <c r="AG12" s="1">
        <v>14</v>
      </c>
      <c r="AH12" s="1">
        <v>27</v>
      </c>
      <c r="AI12" s="34">
        <v>0</v>
      </c>
      <c r="AJ12" s="51">
        <v>112.5</v>
      </c>
      <c r="AK12" s="1">
        <v>18260</v>
      </c>
      <c r="AL12" s="52">
        <v>1260</v>
      </c>
      <c r="AM12" s="41">
        <v>1383</v>
      </c>
      <c r="AN12" s="1">
        <v>12.74</v>
      </c>
      <c r="AO12" s="1">
        <v>6310</v>
      </c>
      <c r="AP12" s="1">
        <v>420.6</v>
      </c>
      <c r="AQ12" s="1">
        <v>641.2</v>
      </c>
      <c r="AR12" s="1">
        <v>7.49</v>
      </c>
      <c r="AS12" s="1">
        <v>85.17</v>
      </c>
      <c r="AT12" s="11">
        <v>1200000</v>
      </c>
    </row>
    <row r="13" spans="1:46" ht="15.75" thickBot="1">
      <c r="A13" s="99"/>
      <c r="B13" s="106" t="s">
        <v>329</v>
      </c>
      <c r="C13" s="110">
        <f>M14*$C$11</f>
        <v>227.46</v>
      </c>
      <c r="D13" s="106" t="s">
        <v>334</v>
      </c>
      <c r="E13" s="110">
        <f>M16*$C$11</f>
        <v>190.71</v>
      </c>
      <c r="F13" s="107" t="s">
        <v>184</v>
      </c>
      <c r="H13" s="116"/>
      <c r="J13" s="97">
        <v>129</v>
      </c>
      <c r="K13" s="7"/>
      <c r="L13" s="156">
        <v>1</v>
      </c>
      <c r="M13" s="195">
        <f>INDEX($AB$2:$AL$157,$J$13,9)</f>
        <v>11.32</v>
      </c>
      <c r="N13" s="75" t="s">
        <v>134</v>
      </c>
      <c r="O13" s="77">
        <v>2100000</v>
      </c>
      <c r="P13" s="78">
        <v>2400</v>
      </c>
      <c r="Q13" s="78">
        <v>7860</v>
      </c>
      <c r="R13" s="265"/>
      <c r="S13" s="261" t="s">
        <v>316</v>
      </c>
      <c r="T13" s="95">
        <v>1</v>
      </c>
      <c r="U13" s="128"/>
      <c r="AB13" s="10" t="s">
        <v>39</v>
      </c>
      <c r="AC13" s="1">
        <v>97.6</v>
      </c>
      <c r="AD13" s="1">
        <v>310</v>
      </c>
      <c r="AE13" s="1">
        <v>300</v>
      </c>
      <c r="AF13" s="1">
        <v>9</v>
      </c>
      <c r="AG13" s="1">
        <v>15.5</v>
      </c>
      <c r="AH13" s="1">
        <v>27</v>
      </c>
      <c r="AI13" s="34">
        <v>0</v>
      </c>
      <c r="AJ13" s="51">
        <v>124.4</v>
      </c>
      <c r="AK13" s="1">
        <v>22930</v>
      </c>
      <c r="AL13" s="52">
        <v>1479</v>
      </c>
      <c r="AM13" s="41">
        <v>1628</v>
      </c>
      <c r="AN13" s="1">
        <v>13.58</v>
      </c>
      <c r="AO13" s="1">
        <v>6985</v>
      </c>
      <c r="AP13" s="1">
        <v>465.7</v>
      </c>
      <c r="AQ13" s="1">
        <v>709.7</v>
      </c>
      <c r="AR13" s="1">
        <v>7.49</v>
      </c>
      <c r="AS13" s="1">
        <v>108</v>
      </c>
      <c r="AT13" s="11">
        <v>1512000</v>
      </c>
    </row>
    <row r="14" spans="1:46" ht="13.5" customHeight="1" thickBot="1">
      <c r="A14" s="99"/>
      <c r="B14" s="106" t="s">
        <v>330</v>
      </c>
      <c r="C14" s="110">
        <f>M15*$C$11</f>
        <v>37.91</v>
      </c>
      <c r="D14" s="106" t="s">
        <v>335</v>
      </c>
      <c r="E14" s="110">
        <f>M17*$C$11</f>
        <v>24.77</v>
      </c>
      <c r="F14" s="107" t="s">
        <v>185</v>
      </c>
      <c r="H14" s="116"/>
      <c r="J14" s="105">
        <f>IF(AND($J$13&gt;143,$J$13&lt;155),"Inserire i dati a lato","")</f>
      </c>
      <c r="M14" s="195">
        <f>INDEX($AB$2:$AL$157,$J$13,10)</f>
        <v>227.46</v>
      </c>
      <c r="N14" s="75" t="s">
        <v>135</v>
      </c>
      <c r="O14" s="77">
        <f>7423*SQRT(P14)</f>
        <v>84635.221805109</v>
      </c>
      <c r="P14" s="78">
        <v>130</v>
      </c>
      <c r="Q14" s="78">
        <v>800</v>
      </c>
      <c r="R14" s="265"/>
      <c r="S14" s="262" t="s">
        <v>317</v>
      </c>
      <c r="T14" s="95">
        <v>1</v>
      </c>
      <c r="U14" s="128"/>
      <c r="AB14" s="10" t="s">
        <v>40</v>
      </c>
      <c r="AC14" s="1">
        <v>105</v>
      </c>
      <c r="AD14" s="1">
        <v>330</v>
      </c>
      <c r="AE14" s="1">
        <v>300</v>
      </c>
      <c r="AF14" s="1">
        <v>9.5</v>
      </c>
      <c r="AG14" s="1">
        <v>16.5</v>
      </c>
      <c r="AH14" s="1">
        <v>27</v>
      </c>
      <c r="AI14" s="34">
        <v>0</v>
      </c>
      <c r="AJ14" s="51">
        <v>133.5</v>
      </c>
      <c r="AK14" s="1">
        <v>27690</v>
      </c>
      <c r="AL14" s="52">
        <v>1678</v>
      </c>
      <c r="AM14" s="41">
        <v>1850</v>
      </c>
      <c r="AN14" s="1">
        <v>14.4</v>
      </c>
      <c r="AO14" s="1">
        <v>7436</v>
      </c>
      <c r="AP14" s="1">
        <v>495.7</v>
      </c>
      <c r="AQ14" s="1">
        <v>755.9</v>
      </c>
      <c r="AR14" s="1">
        <v>7.46</v>
      </c>
      <c r="AS14" s="1">
        <v>127.2</v>
      </c>
      <c r="AT14" s="11">
        <v>1824000</v>
      </c>
    </row>
    <row r="15" spans="1:46" ht="15.75" thickBot="1">
      <c r="A15" s="99"/>
      <c r="B15" s="106">
        <f>IF(AND(AND($J$9&gt;3,$J$9&lt;8),$J$13=148),"Ch =","")</f>
      </c>
      <c r="C15" s="204">
        <f>IF(AND(AND($J$9&gt;3,$J$9&lt;8),$J$13=148),IF($P$2&lt;150,1,IF($P$2&lt;230,0.9,IF($P$2&lt;300,0.9-0.1*($P$2-230)/70,0.8))),"")</f>
      </c>
      <c r="D15" s="106">
        <f>IF(AND(AND($J$9&gt;3,$J$9&lt;8),$J$13=148),"Cb =","")</f>
      </c>
      <c r="E15" s="204">
        <f>IF(AND(AND($J$9&gt;3,$J$9&lt;8),$J$13=148),IF($O$2&lt;150,1,IF($O$2&lt;230,0.9,IF($O$2&lt;300,0.9-0.1*($O$2-230)/70,0.8))),"")</f>
      </c>
      <c r="F15" s="103"/>
      <c r="G15" s="99"/>
      <c r="H15" s="116"/>
      <c r="L15" s="4" t="s">
        <v>2</v>
      </c>
      <c r="M15" s="195">
        <f>INDEX($AB$2:$AL$157,$J$13,11)</f>
        <v>37.91</v>
      </c>
      <c r="N15" s="75" t="s">
        <v>136</v>
      </c>
      <c r="O15" s="77">
        <f>7423*SQRT(P15)</f>
        <v>74230</v>
      </c>
      <c r="P15" s="78">
        <v>100</v>
      </c>
      <c r="Q15" s="78">
        <v>800</v>
      </c>
      <c r="R15" s="263"/>
      <c r="S15" s="262" t="s">
        <v>326</v>
      </c>
      <c r="T15" s="95">
        <v>1</v>
      </c>
      <c r="U15" s="128"/>
      <c r="AB15" s="10" t="s">
        <v>41</v>
      </c>
      <c r="AC15" s="1">
        <v>112</v>
      </c>
      <c r="AD15" s="1">
        <v>350</v>
      </c>
      <c r="AE15" s="1">
        <v>300</v>
      </c>
      <c r="AF15" s="1">
        <v>10</v>
      </c>
      <c r="AG15" s="1">
        <v>17.5</v>
      </c>
      <c r="AH15" s="1">
        <v>27</v>
      </c>
      <c r="AI15" s="34">
        <v>0</v>
      </c>
      <c r="AJ15" s="51">
        <v>142.8</v>
      </c>
      <c r="AK15" s="1">
        <v>33090</v>
      </c>
      <c r="AL15" s="52">
        <v>1891</v>
      </c>
      <c r="AM15" s="41">
        <v>2088</v>
      </c>
      <c r="AN15" s="1">
        <v>15.22</v>
      </c>
      <c r="AO15" s="1">
        <v>7887</v>
      </c>
      <c r="AP15" s="1">
        <v>525.8</v>
      </c>
      <c r="AQ15" s="1">
        <v>802.3</v>
      </c>
      <c r="AR15" s="1">
        <v>7.43</v>
      </c>
      <c r="AS15" s="1">
        <v>148.8</v>
      </c>
      <c r="AT15" s="11">
        <v>2177000</v>
      </c>
    </row>
    <row r="16" spans="1:46" ht="15.75" thickBot="1">
      <c r="A16" s="99"/>
      <c r="B16" s="243" t="s">
        <v>254</v>
      </c>
      <c r="C16" s="106" t="s">
        <v>255</v>
      </c>
      <c r="D16" s="111">
        <f>L16</f>
        <v>4</v>
      </c>
      <c r="E16" s="107" t="s">
        <v>2</v>
      </c>
      <c r="F16" s="103"/>
      <c r="G16" s="99"/>
      <c r="H16" s="116"/>
      <c r="J16" s="81"/>
      <c r="K16" s="82" t="s">
        <v>131</v>
      </c>
      <c r="L16" s="93">
        <v>4</v>
      </c>
      <c r="M16" s="195">
        <f>INDEX($AB$2:$AP$157,$J$13,14)</f>
        <v>190.71</v>
      </c>
      <c r="N16" s="75" t="s">
        <v>137</v>
      </c>
      <c r="O16" s="77">
        <f>7834*SQRT(P16)</f>
        <v>92028.6625351037</v>
      </c>
      <c r="P16" s="78">
        <v>138</v>
      </c>
      <c r="Q16" s="78">
        <v>800</v>
      </c>
      <c r="R16" s="263"/>
      <c r="U16" s="128"/>
      <c r="AB16" s="10" t="s">
        <v>42</v>
      </c>
      <c r="AC16" s="1">
        <v>125</v>
      </c>
      <c r="AD16" s="1">
        <v>390</v>
      </c>
      <c r="AE16" s="1">
        <v>300</v>
      </c>
      <c r="AF16" s="1">
        <v>11</v>
      </c>
      <c r="AG16" s="1">
        <v>19</v>
      </c>
      <c r="AH16" s="1">
        <v>27</v>
      </c>
      <c r="AI16" s="34">
        <v>0</v>
      </c>
      <c r="AJ16" s="51">
        <v>159</v>
      </c>
      <c r="AK16" s="1">
        <v>45070</v>
      </c>
      <c r="AL16" s="52">
        <v>2311</v>
      </c>
      <c r="AM16" s="41">
        <v>2562</v>
      </c>
      <c r="AN16" s="1">
        <v>16.84</v>
      </c>
      <c r="AO16" s="1">
        <v>8564</v>
      </c>
      <c r="AP16" s="1">
        <v>570.9</v>
      </c>
      <c r="AQ16" s="1">
        <v>872.9</v>
      </c>
      <c r="AR16" s="1">
        <v>7.34</v>
      </c>
      <c r="AS16" s="1">
        <v>189</v>
      </c>
      <c r="AT16" s="11">
        <v>2942000</v>
      </c>
    </row>
    <row r="17" spans="1:46" ht="15.75" thickBot="1">
      <c r="A17" s="99"/>
      <c r="B17" s="292" t="s">
        <v>232</v>
      </c>
      <c r="C17" s="292"/>
      <c r="D17" s="111">
        <f>L17</f>
        <v>1</v>
      </c>
      <c r="E17" s="107" t="s">
        <v>2</v>
      </c>
      <c r="F17" s="103"/>
      <c r="G17" s="100"/>
      <c r="H17" s="116"/>
      <c r="J17" s="83"/>
      <c r="K17" s="84" t="s">
        <v>233</v>
      </c>
      <c r="L17" s="93">
        <v>1</v>
      </c>
      <c r="M17" s="195">
        <f>INDEX($AB$2:$AP$157,$J$13,15)</f>
        <v>24.77</v>
      </c>
      <c r="N17" s="75" t="s">
        <v>138</v>
      </c>
      <c r="O17" s="77">
        <f>7834*SQRT(P17)</f>
        <v>84737.66607595468</v>
      </c>
      <c r="P17" s="78">
        <v>117</v>
      </c>
      <c r="Q17" s="78">
        <v>800</v>
      </c>
      <c r="R17" s="263"/>
      <c r="U17" s="128"/>
      <c r="AB17" s="10" t="s">
        <v>43</v>
      </c>
      <c r="AC17" s="1">
        <v>140</v>
      </c>
      <c r="AD17" s="1">
        <v>440</v>
      </c>
      <c r="AE17" s="1">
        <v>300</v>
      </c>
      <c r="AF17" s="1">
        <v>11.5</v>
      </c>
      <c r="AG17" s="1">
        <v>21</v>
      </c>
      <c r="AH17" s="1">
        <v>27</v>
      </c>
      <c r="AI17" s="34">
        <v>0</v>
      </c>
      <c r="AJ17" s="51">
        <v>178</v>
      </c>
      <c r="AK17" s="1">
        <v>63720</v>
      </c>
      <c r="AL17" s="52">
        <v>2896</v>
      </c>
      <c r="AM17" s="41">
        <v>3216</v>
      </c>
      <c r="AN17" s="1">
        <v>18.92</v>
      </c>
      <c r="AO17" s="1">
        <v>9465</v>
      </c>
      <c r="AP17" s="1">
        <v>631</v>
      </c>
      <c r="AQ17" s="1">
        <v>965.5</v>
      </c>
      <c r="AR17" s="1">
        <v>7.29</v>
      </c>
      <c r="AS17" s="1">
        <v>243.8</v>
      </c>
      <c r="AT17" s="11">
        <v>4148000</v>
      </c>
    </row>
    <row r="18" spans="1:46" ht="15.75" customHeight="1" thickBot="1">
      <c r="A18" s="99"/>
      <c r="B18" s="292" t="s">
        <v>331</v>
      </c>
      <c r="C18" s="292"/>
      <c r="D18" s="111">
        <f>L18</f>
        <v>0</v>
      </c>
      <c r="E18" s="114" t="s">
        <v>332</v>
      </c>
      <c r="F18" s="103"/>
      <c r="G18" s="99"/>
      <c r="H18" s="116"/>
      <c r="J18" s="298" t="s">
        <v>331</v>
      </c>
      <c r="K18" s="299"/>
      <c r="L18" s="93">
        <v>0</v>
      </c>
      <c r="M18" s="267" t="s">
        <v>332</v>
      </c>
      <c r="N18" s="76" t="s">
        <v>161</v>
      </c>
      <c r="O18" s="79">
        <v>700000</v>
      </c>
      <c r="P18" s="264">
        <v>100</v>
      </c>
      <c r="Q18" s="80">
        <v>2500</v>
      </c>
      <c r="R18" s="264"/>
      <c r="S18" s="3" t="s">
        <v>355</v>
      </c>
      <c r="U18" s="128"/>
      <c r="AB18" s="10" t="s">
        <v>44</v>
      </c>
      <c r="AC18" s="1">
        <v>155</v>
      </c>
      <c r="AD18" s="1">
        <v>490</v>
      </c>
      <c r="AE18" s="1">
        <v>300</v>
      </c>
      <c r="AF18" s="1">
        <v>12</v>
      </c>
      <c r="AG18" s="1">
        <v>23</v>
      </c>
      <c r="AH18" s="1">
        <v>27</v>
      </c>
      <c r="AI18" s="34">
        <v>0</v>
      </c>
      <c r="AJ18" s="51">
        <v>197.5</v>
      </c>
      <c r="AK18" s="1">
        <v>86970</v>
      </c>
      <c r="AL18" s="52">
        <v>3550</v>
      </c>
      <c r="AM18" s="41">
        <v>3949</v>
      </c>
      <c r="AN18" s="1">
        <v>20.98</v>
      </c>
      <c r="AO18" s="1">
        <v>10370</v>
      </c>
      <c r="AP18" s="1">
        <v>691.1</v>
      </c>
      <c r="AQ18" s="1">
        <v>1059</v>
      </c>
      <c r="AR18" s="1">
        <v>7.24</v>
      </c>
      <c r="AS18" s="1">
        <v>309.3</v>
      </c>
      <c r="AT18" s="11">
        <v>5643000</v>
      </c>
    </row>
    <row r="19" spans="1:46" ht="16.5" thickBot="1">
      <c r="A19" s="99"/>
      <c r="B19" s="293" t="s">
        <v>6</v>
      </c>
      <c r="C19" s="293"/>
      <c r="D19" s="294" t="str">
        <f>INDEX(N22:N28,J21)</f>
        <v>cerniera-cerniera</v>
      </c>
      <c r="E19" s="294"/>
      <c r="F19" s="103"/>
      <c r="G19" s="99"/>
      <c r="H19" s="116"/>
      <c r="J19" s="104" t="s">
        <v>6</v>
      </c>
      <c r="L19" s="206" t="s">
        <v>261</v>
      </c>
      <c r="M19" s="245">
        <f>IF($J$9=9,"===&gt;&gt;","")</f>
      </c>
      <c r="N19" s="155" t="s">
        <v>167</v>
      </c>
      <c r="O19" s="155">
        <v>100000</v>
      </c>
      <c r="P19" s="95">
        <v>100</v>
      </c>
      <c r="Q19" s="95">
        <v>2000</v>
      </c>
      <c r="R19" s="95">
        <v>2</v>
      </c>
      <c r="U19" s="128"/>
      <c r="AB19" s="10" t="s">
        <v>45</v>
      </c>
      <c r="AC19" s="1">
        <v>166</v>
      </c>
      <c r="AD19" s="1">
        <v>540</v>
      </c>
      <c r="AE19" s="1">
        <v>300</v>
      </c>
      <c r="AF19" s="1">
        <v>12.5</v>
      </c>
      <c r="AG19" s="1">
        <v>24</v>
      </c>
      <c r="AH19" s="1">
        <v>27</v>
      </c>
      <c r="AI19" s="34">
        <v>0</v>
      </c>
      <c r="AJ19" s="51">
        <v>211.8</v>
      </c>
      <c r="AK19" s="1">
        <v>111900</v>
      </c>
      <c r="AL19" s="52">
        <v>4146</v>
      </c>
      <c r="AM19" s="41">
        <v>4622</v>
      </c>
      <c r="AN19" s="1">
        <v>22.99</v>
      </c>
      <c r="AO19" s="1">
        <v>10820</v>
      </c>
      <c r="AP19" s="1">
        <v>721.3</v>
      </c>
      <c r="AQ19" s="1">
        <v>1107</v>
      </c>
      <c r="AR19" s="1">
        <v>7.15</v>
      </c>
      <c r="AS19" s="1">
        <v>351.5</v>
      </c>
      <c r="AT19" s="11">
        <v>7189000</v>
      </c>
    </row>
    <row r="20" spans="1:46" ht="16.5" customHeight="1" thickBot="1">
      <c r="A20" s="99"/>
      <c r="B20" s="103"/>
      <c r="C20" s="112">
        <f>IF($L$21&gt;0,"coeff. sismico verticale =","")</f>
      </c>
      <c r="D20" s="113">
        <f>IF($L$21&gt;0,L21,"")</f>
      </c>
      <c r="E20" s="114"/>
      <c r="F20" s="103"/>
      <c r="G20" s="99"/>
      <c r="H20" s="116"/>
      <c r="J20" s="67"/>
      <c r="K20" s="68"/>
      <c r="L20" s="205" t="s">
        <v>239</v>
      </c>
      <c r="N20" s="135"/>
      <c r="O20" s="135"/>
      <c r="P20" s="135"/>
      <c r="Q20" s="135"/>
      <c r="R20" s="99"/>
      <c r="S20" s="136" t="s">
        <v>195</v>
      </c>
      <c r="U20" s="128"/>
      <c r="AB20" s="10" t="s">
        <v>46</v>
      </c>
      <c r="AC20" s="1">
        <v>178</v>
      </c>
      <c r="AD20" s="1">
        <v>590</v>
      </c>
      <c r="AE20" s="1">
        <v>300</v>
      </c>
      <c r="AF20" s="1">
        <v>13</v>
      </c>
      <c r="AG20" s="1">
        <v>25</v>
      </c>
      <c r="AH20" s="1">
        <v>27</v>
      </c>
      <c r="AI20" s="34">
        <v>0</v>
      </c>
      <c r="AJ20" s="51">
        <v>226.5</v>
      </c>
      <c r="AK20" s="1">
        <v>141200</v>
      </c>
      <c r="AL20" s="52">
        <v>4787</v>
      </c>
      <c r="AM20" s="41">
        <v>5350</v>
      </c>
      <c r="AN20" s="1">
        <v>24.97</v>
      </c>
      <c r="AO20" s="1">
        <v>11270</v>
      </c>
      <c r="AP20" s="1">
        <v>751.4</v>
      </c>
      <c r="AQ20" s="1">
        <v>1156</v>
      </c>
      <c r="AR20" s="1">
        <v>7.05</v>
      </c>
      <c r="AS20" s="1">
        <v>397.8</v>
      </c>
      <c r="AT20" s="11">
        <v>8978000</v>
      </c>
    </row>
    <row r="21" spans="1:46" ht="15.75" customHeight="1" thickBot="1">
      <c r="A21" s="99"/>
      <c r="B21" s="295" t="s">
        <v>1</v>
      </c>
      <c r="C21" s="295"/>
      <c r="D21" s="115"/>
      <c r="E21" s="107"/>
      <c r="F21" s="103"/>
      <c r="G21" s="102"/>
      <c r="H21" s="117"/>
      <c r="J21" s="97">
        <v>1</v>
      </c>
      <c r="K21" s="7"/>
      <c r="L21" s="93">
        <v>0</v>
      </c>
      <c r="N21" s="137" t="s">
        <v>174</v>
      </c>
      <c r="O21" s="138" t="s">
        <v>176</v>
      </c>
      <c r="P21" s="139" t="s">
        <v>175</v>
      </c>
      <c r="Q21" s="138" t="s">
        <v>199</v>
      </c>
      <c r="R21" s="140" t="s">
        <v>177</v>
      </c>
      <c r="S21" s="141" t="s">
        <v>194</v>
      </c>
      <c r="U21" s="128"/>
      <c r="AB21" s="10" t="s">
        <v>47</v>
      </c>
      <c r="AC21" s="1">
        <v>190</v>
      </c>
      <c r="AD21" s="1">
        <v>640</v>
      </c>
      <c r="AE21" s="1">
        <v>300</v>
      </c>
      <c r="AF21" s="1">
        <v>13.5</v>
      </c>
      <c r="AG21" s="1">
        <v>26</v>
      </c>
      <c r="AH21" s="1">
        <v>27</v>
      </c>
      <c r="AI21" s="34">
        <v>0</v>
      </c>
      <c r="AJ21" s="51">
        <v>241.6</v>
      </c>
      <c r="AK21" s="1">
        <v>175200</v>
      </c>
      <c r="AL21" s="52">
        <v>5474</v>
      </c>
      <c r="AM21" s="41">
        <v>6136</v>
      </c>
      <c r="AN21" s="1">
        <v>26.93</v>
      </c>
      <c r="AO21" s="1">
        <v>11720</v>
      </c>
      <c r="AP21" s="1">
        <v>781.6</v>
      </c>
      <c r="AQ21" s="1">
        <v>1205</v>
      </c>
      <c r="AR21" s="1">
        <v>6.97</v>
      </c>
      <c r="AS21" s="1">
        <v>448.3</v>
      </c>
      <c r="AT21" s="11">
        <v>11030000</v>
      </c>
    </row>
    <row r="22" spans="1:46" ht="18.75" thickBot="1">
      <c r="A22" s="99"/>
      <c r="B22" s="292" t="s">
        <v>321</v>
      </c>
      <c r="C22" s="292"/>
      <c r="D22" s="115">
        <f>L23</f>
        <v>80</v>
      </c>
      <c r="E22" s="107" t="s">
        <v>186</v>
      </c>
      <c r="F22" s="103"/>
      <c r="G22" s="99"/>
      <c r="H22" s="116"/>
      <c r="J22" s="246">
        <f>IF($J$21=7,"Inserire i dati a lato","")</f>
      </c>
      <c r="K22" s="6"/>
      <c r="L22" s="4" t="s">
        <v>141</v>
      </c>
      <c r="N22" s="142" t="s">
        <v>171</v>
      </c>
      <c r="O22" s="143">
        <v>8</v>
      </c>
      <c r="P22" s="143">
        <v>4</v>
      </c>
      <c r="Q22" s="144">
        <f>5/384</f>
        <v>0.013020833333333334</v>
      </c>
      <c r="R22" s="144">
        <v>0.020833333333333332</v>
      </c>
      <c r="S22" s="145" t="s">
        <v>181</v>
      </c>
      <c r="U22" s="128"/>
      <c r="AB22" s="10" t="s">
        <v>48</v>
      </c>
      <c r="AC22" s="1">
        <v>204</v>
      </c>
      <c r="AD22" s="1">
        <v>690</v>
      </c>
      <c r="AE22" s="1">
        <v>300</v>
      </c>
      <c r="AF22" s="1">
        <v>14.5</v>
      </c>
      <c r="AG22" s="1">
        <v>27</v>
      </c>
      <c r="AH22" s="1">
        <v>27</v>
      </c>
      <c r="AI22" s="34">
        <v>0</v>
      </c>
      <c r="AJ22" s="51">
        <v>260.5</v>
      </c>
      <c r="AK22" s="1">
        <v>215300</v>
      </c>
      <c r="AL22" s="52">
        <v>6241</v>
      </c>
      <c r="AM22" s="41">
        <v>7032</v>
      </c>
      <c r="AN22" s="1">
        <v>28.75</v>
      </c>
      <c r="AO22" s="1">
        <v>12180</v>
      </c>
      <c r="AP22" s="1">
        <v>811.9</v>
      </c>
      <c r="AQ22" s="1">
        <v>1257</v>
      </c>
      <c r="AR22" s="1">
        <v>6.84</v>
      </c>
      <c r="AS22" s="1">
        <v>513.9</v>
      </c>
      <c r="AT22" s="11">
        <v>13350000</v>
      </c>
    </row>
    <row r="23" spans="1:46" ht="15.75" thickBot="1">
      <c r="A23" s="99"/>
      <c r="B23" s="292" t="s">
        <v>322</v>
      </c>
      <c r="C23" s="292"/>
      <c r="D23" s="115">
        <f>L24</f>
        <v>100</v>
      </c>
      <c r="E23" s="107" t="s">
        <v>186</v>
      </c>
      <c r="F23" s="103"/>
      <c r="G23" s="99"/>
      <c r="H23" s="116"/>
      <c r="J23" s="81"/>
      <c r="K23" s="85" t="s">
        <v>190</v>
      </c>
      <c r="L23" s="94">
        <v>80</v>
      </c>
      <c r="N23" s="146" t="s">
        <v>173</v>
      </c>
      <c r="O23" s="144">
        <v>10</v>
      </c>
      <c r="P23" s="144">
        <v>6</v>
      </c>
      <c r="Q23" s="144">
        <f>3/384</f>
        <v>0.0078125</v>
      </c>
      <c r="R23" s="144">
        <v>0.013020833333333332</v>
      </c>
      <c r="S23" s="147" t="s">
        <v>181</v>
      </c>
      <c r="U23" s="128"/>
      <c r="AB23" s="10" t="s">
        <v>49</v>
      </c>
      <c r="AC23" s="1">
        <v>224</v>
      </c>
      <c r="AD23" s="1">
        <v>790</v>
      </c>
      <c r="AE23" s="1">
        <v>300</v>
      </c>
      <c r="AF23" s="1">
        <v>15</v>
      </c>
      <c r="AG23" s="1">
        <v>28</v>
      </c>
      <c r="AH23" s="1">
        <v>30</v>
      </c>
      <c r="AI23" s="34">
        <v>0</v>
      </c>
      <c r="AJ23" s="51">
        <v>285.8</v>
      </c>
      <c r="AK23" s="1">
        <v>303400</v>
      </c>
      <c r="AL23" s="52">
        <v>7682</v>
      </c>
      <c r="AM23" s="41">
        <v>8699</v>
      </c>
      <c r="AN23" s="1">
        <v>32.58</v>
      </c>
      <c r="AO23" s="1">
        <v>12640</v>
      </c>
      <c r="AP23" s="1">
        <v>842.6</v>
      </c>
      <c r="AQ23" s="1">
        <v>1312</v>
      </c>
      <c r="AR23" s="1">
        <v>6.65</v>
      </c>
      <c r="AS23" s="1">
        <v>596.9</v>
      </c>
      <c r="AT23" s="11">
        <v>18290000</v>
      </c>
    </row>
    <row r="24" spans="1:46" ht="15.75" thickBot="1">
      <c r="A24" s="99"/>
      <c r="B24" s="292" t="s">
        <v>318</v>
      </c>
      <c r="C24" s="292"/>
      <c r="D24" s="202">
        <f>IF(L26&gt;0,L26,INT(D10*D12/1000)/10)</f>
        <v>8.8</v>
      </c>
      <c r="E24" s="107" t="s">
        <v>197</v>
      </c>
      <c r="F24" s="103"/>
      <c r="G24" s="99"/>
      <c r="H24" s="116"/>
      <c r="J24" s="81"/>
      <c r="K24" s="85" t="s">
        <v>189</v>
      </c>
      <c r="L24" s="94">
        <v>100</v>
      </c>
      <c r="N24" s="146" t="s">
        <v>201</v>
      </c>
      <c r="O24" s="144">
        <v>8</v>
      </c>
      <c r="P24" s="144">
        <f>48/9</f>
        <v>5.333333333333333</v>
      </c>
      <c r="Q24" s="144">
        <f>2/384</f>
        <v>0.005208333333333333</v>
      </c>
      <c r="R24" s="144">
        <v>0.009345794392523364</v>
      </c>
      <c r="S24" s="147" t="s">
        <v>181</v>
      </c>
      <c r="U24" s="128"/>
      <c r="AB24" s="10" t="s">
        <v>50</v>
      </c>
      <c r="AC24" s="1">
        <v>252</v>
      </c>
      <c r="AD24" s="1">
        <v>890</v>
      </c>
      <c r="AE24" s="1">
        <v>300</v>
      </c>
      <c r="AF24" s="1">
        <v>16</v>
      </c>
      <c r="AG24" s="1">
        <v>30</v>
      </c>
      <c r="AH24" s="1">
        <v>30</v>
      </c>
      <c r="AI24" s="34">
        <v>0</v>
      </c>
      <c r="AJ24" s="51">
        <v>320.5</v>
      </c>
      <c r="AK24" s="1">
        <v>422100</v>
      </c>
      <c r="AL24" s="52">
        <v>9485</v>
      </c>
      <c r="AM24" s="41">
        <v>10810</v>
      </c>
      <c r="AN24" s="1">
        <v>36.29</v>
      </c>
      <c r="AO24" s="1">
        <v>13550</v>
      </c>
      <c r="AP24" s="1">
        <v>903.2</v>
      </c>
      <c r="AQ24" s="1">
        <v>1414</v>
      </c>
      <c r="AR24" s="1">
        <v>6.5</v>
      </c>
      <c r="AS24" s="1">
        <v>736.8</v>
      </c>
      <c r="AT24" s="11">
        <v>24960000</v>
      </c>
    </row>
    <row r="25" spans="1:46" ht="15.75" customHeight="1" thickBot="1">
      <c r="A25" s="99"/>
      <c r="B25" s="292" t="s">
        <v>323</v>
      </c>
      <c r="C25" s="292"/>
      <c r="D25" s="115">
        <f>L27</f>
        <v>0</v>
      </c>
      <c r="E25" s="107" t="s">
        <v>3</v>
      </c>
      <c r="G25" s="99"/>
      <c r="H25" s="116"/>
      <c r="L25" s="4" t="s">
        <v>197</v>
      </c>
      <c r="N25" s="146" t="s">
        <v>172</v>
      </c>
      <c r="O25" s="144">
        <v>12</v>
      </c>
      <c r="P25" s="144">
        <v>8</v>
      </c>
      <c r="Q25" s="144">
        <f>1/384</f>
        <v>0.0026041666666666665</v>
      </c>
      <c r="R25" s="144">
        <v>0.005208333333333333</v>
      </c>
      <c r="S25" s="147" t="s">
        <v>181</v>
      </c>
      <c r="U25" s="128"/>
      <c r="AB25" s="21" t="s">
        <v>28</v>
      </c>
      <c r="AC25" s="22">
        <v>272</v>
      </c>
      <c r="AD25" s="22">
        <v>990</v>
      </c>
      <c r="AE25" s="22">
        <v>300</v>
      </c>
      <c r="AF25" s="22">
        <v>16.5</v>
      </c>
      <c r="AG25" s="22">
        <v>31</v>
      </c>
      <c r="AH25" s="22">
        <v>30</v>
      </c>
      <c r="AI25" s="35">
        <v>0</v>
      </c>
      <c r="AJ25" s="53">
        <v>346.8</v>
      </c>
      <c r="AK25" s="22">
        <v>553800</v>
      </c>
      <c r="AL25" s="54">
        <v>11190</v>
      </c>
      <c r="AM25" s="42">
        <v>12820</v>
      </c>
      <c r="AN25" s="22">
        <v>39.96</v>
      </c>
      <c r="AO25" s="22">
        <v>14000</v>
      </c>
      <c r="AP25" s="22">
        <v>933.6</v>
      </c>
      <c r="AQ25" s="22">
        <v>1470</v>
      </c>
      <c r="AR25" s="22">
        <v>6.35</v>
      </c>
      <c r="AS25" s="22">
        <v>822.4</v>
      </c>
      <c r="AT25" s="23">
        <v>32070000</v>
      </c>
    </row>
    <row r="26" spans="1:46" ht="13.5" customHeight="1" thickBot="1">
      <c r="A26" s="99"/>
      <c r="B26" s="292" t="s">
        <v>324</v>
      </c>
      <c r="C26" s="292"/>
      <c r="D26" s="115">
        <f>L30</f>
        <v>0</v>
      </c>
      <c r="E26" s="107" t="s">
        <v>4</v>
      </c>
      <c r="F26" s="271">
        <f>IF(D26&gt;0,"Ascissa x ="&amp;IF(J21=6,D16,IF($J$21=7,S28,D16/2))&amp;"m","")</f>
      </c>
      <c r="G26" s="99"/>
      <c r="H26" s="116"/>
      <c r="J26" s="81"/>
      <c r="K26" s="85" t="s">
        <v>235</v>
      </c>
      <c r="L26" s="94">
        <v>0</v>
      </c>
      <c r="M26" s="3"/>
      <c r="N26" s="146" t="s">
        <v>202</v>
      </c>
      <c r="O26" s="144">
        <v>12</v>
      </c>
      <c r="P26" s="144">
        <v>4</v>
      </c>
      <c r="Q26" s="144">
        <f>3.2/384</f>
        <v>0.008333333333333333</v>
      </c>
      <c r="R26" s="144">
        <v>0.020833333333333332</v>
      </c>
      <c r="S26" s="147" t="s">
        <v>181</v>
      </c>
      <c r="U26" s="128"/>
      <c r="AB26" s="18" t="s">
        <v>51</v>
      </c>
      <c r="AC26" s="19">
        <v>20.4</v>
      </c>
      <c r="AD26" s="19">
        <v>100</v>
      </c>
      <c r="AE26" s="19">
        <v>100</v>
      </c>
      <c r="AF26" s="19">
        <v>6</v>
      </c>
      <c r="AG26" s="19">
        <v>10</v>
      </c>
      <c r="AH26" s="19">
        <v>12</v>
      </c>
      <c r="AI26" s="33">
        <v>0</v>
      </c>
      <c r="AJ26" s="49">
        <v>26.04</v>
      </c>
      <c r="AK26" s="19">
        <v>449.5</v>
      </c>
      <c r="AL26" s="50">
        <v>89.91</v>
      </c>
      <c r="AM26" s="40">
        <v>104.2</v>
      </c>
      <c r="AN26" s="19">
        <v>4.16</v>
      </c>
      <c r="AO26" s="19">
        <v>167.3</v>
      </c>
      <c r="AP26" s="19">
        <v>33.45</v>
      </c>
      <c r="AQ26" s="19">
        <v>51.42</v>
      </c>
      <c r="AR26" s="19">
        <v>2.53</v>
      </c>
      <c r="AS26" s="19">
        <v>9.25</v>
      </c>
      <c r="AT26" s="20">
        <v>3380</v>
      </c>
    </row>
    <row r="27" spans="1:46" ht="15.75" thickBot="1">
      <c r="A27" s="99"/>
      <c r="B27" s="103"/>
      <c r="C27" s="103"/>
      <c r="D27" s="268" t="s">
        <v>359</v>
      </c>
      <c r="E27" s="268" t="s">
        <v>360</v>
      </c>
      <c r="F27" s="103"/>
      <c r="G27" s="99"/>
      <c r="H27" s="116"/>
      <c r="J27" s="81"/>
      <c r="K27" s="85" t="s">
        <v>238</v>
      </c>
      <c r="L27" s="94">
        <v>0</v>
      </c>
      <c r="N27" s="146" t="s">
        <v>180</v>
      </c>
      <c r="O27" s="144">
        <v>2</v>
      </c>
      <c r="P27" s="144">
        <v>1</v>
      </c>
      <c r="Q27" s="144">
        <f>1/8</f>
        <v>0.125</v>
      </c>
      <c r="R27" s="144">
        <v>0.3333333333333333</v>
      </c>
      <c r="S27" s="147" t="s">
        <v>182</v>
      </c>
      <c r="U27" s="128"/>
      <c r="AB27" s="10" t="s">
        <v>53</v>
      </c>
      <c r="AC27" s="1">
        <v>26.7</v>
      </c>
      <c r="AD27" s="1">
        <v>120</v>
      </c>
      <c r="AE27" s="1">
        <v>120</v>
      </c>
      <c r="AF27" s="1">
        <v>6.5</v>
      </c>
      <c r="AG27" s="1">
        <v>11</v>
      </c>
      <c r="AH27" s="1">
        <v>12</v>
      </c>
      <c r="AI27" s="34">
        <v>0</v>
      </c>
      <c r="AJ27" s="51">
        <v>34.01</v>
      </c>
      <c r="AK27" s="1">
        <v>864.4</v>
      </c>
      <c r="AL27" s="52">
        <v>144.1</v>
      </c>
      <c r="AM27" s="41">
        <v>165.2</v>
      </c>
      <c r="AN27" s="1">
        <v>5.04</v>
      </c>
      <c r="AO27" s="1">
        <v>317.5</v>
      </c>
      <c r="AP27" s="1">
        <v>52.92</v>
      </c>
      <c r="AQ27" s="1">
        <v>80.97</v>
      </c>
      <c r="AR27" s="1">
        <v>3.06</v>
      </c>
      <c r="AS27" s="1">
        <v>13.84</v>
      </c>
      <c r="AT27" s="11">
        <v>9410</v>
      </c>
    </row>
    <row r="28" spans="1:46" ht="16.5" thickBot="1">
      <c r="A28" s="99"/>
      <c r="B28" s="302" t="str">
        <f>"C.tot:"&amp;T11&amp;"G+"&amp;T12&amp;"P+"&amp;T13&amp;"Q+"&amp;T14&amp;"q="</f>
        <v>C.tot:1G+1P+1Q+1q=</v>
      </c>
      <c r="C28" s="302"/>
      <c r="D28" s="203">
        <f>((T12*D22+T13*D23)*D17+T11*D24+T14*D25)*(1+IF(D20="",0,D20))*COS(D18*3.1415/180)</f>
        <v>188.8</v>
      </c>
      <c r="E28" s="203">
        <f>((T12*D22+T13*D23)*D17+T11*D24+T14*D25)*(1+IF(D20="",0,D20))*SIN(D18*3.1415/180)</f>
        <v>0</v>
      </c>
      <c r="F28" s="107" t="s">
        <v>3</v>
      </c>
      <c r="G28" s="99"/>
      <c r="H28" s="116"/>
      <c r="L28" s="133" t="s">
        <v>263</v>
      </c>
      <c r="M28" s="247">
        <f>IF($J$21=7,"===&gt;&gt;","")</f>
      </c>
      <c r="N28" s="95" t="s">
        <v>312</v>
      </c>
      <c r="O28" s="149">
        <v>15.59</v>
      </c>
      <c r="P28" s="149">
        <v>4</v>
      </c>
      <c r="Q28" s="149">
        <f>0.00652</f>
        <v>0.00652</v>
      </c>
      <c r="R28" s="149">
        <v>0.02083333</v>
      </c>
      <c r="S28" s="149">
        <v>0.5</v>
      </c>
      <c r="U28" s="128"/>
      <c r="AB28" s="10" t="s">
        <v>54</v>
      </c>
      <c r="AC28" s="1">
        <v>33.7</v>
      </c>
      <c r="AD28" s="1">
        <v>140</v>
      </c>
      <c r="AE28" s="1">
        <v>140</v>
      </c>
      <c r="AF28" s="1">
        <v>7</v>
      </c>
      <c r="AG28" s="1">
        <v>12</v>
      </c>
      <c r="AH28" s="1">
        <v>12</v>
      </c>
      <c r="AI28" s="34">
        <v>0</v>
      </c>
      <c r="AJ28" s="51">
        <v>42.96</v>
      </c>
      <c r="AK28" s="1">
        <v>1509</v>
      </c>
      <c r="AL28" s="52">
        <v>215.6</v>
      </c>
      <c r="AM28" s="41">
        <v>245.4</v>
      </c>
      <c r="AN28" s="1">
        <v>5.93</v>
      </c>
      <c r="AO28" s="1">
        <v>549.7</v>
      </c>
      <c r="AP28" s="1">
        <v>78.52</v>
      </c>
      <c r="AQ28" s="1">
        <v>119.8</v>
      </c>
      <c r="AR28" s="1">
        <v>3.58</v>
      </c>
      <c r="AS28" s="1">
        <v>20.06</v>
      </c>
      <c r="AT28" s="11">
        <v>22480</v>
      </c>
    </row>
    <row r="29" spans="1:46" ht="15.75" thickBot="1">
      <c r="A29" s="99"/>
      <c r="B29" s="304" t="s">
        <v>198</v>
      </c>
      <c r="C29" s="304"/>
      <c r="D29" s="269">
        <f>INDEX(O22:O28,J21)</f>
        <v>8</v>
      </c>
      <c r="E29" s="269">
        <f>INDEX(O22:O28,J21)</f>
        <v>8</v>
      </c>
      <c r="F29" s="107"/>
      <c r="G29" s="99"/>
      <c r="H29" s="116"/>
      <c r="N29" s="135" t="s">
        <v>196</v>
      </c>
      <c r="O29" s="135"/>
      <c r="P29" s="135"/>
      <c r="Q29" s="135"/>
      <c r="R29" s="99"/>
      <c r="S29" s="99"/>
      <c r="U29" s="128"/>
      <c r="AB29" s="10" t="s">
        <v>55</v>
      </c>
      <c r="AC29" s="1">
        <v>42.6</v>
      </c>
      <c r="AD29" s="1">
        <v>160</v>
      </c>
      <c r="AE29" s="1">
        <v>160</v>
      </c>
      <c r="AF29" s="1">
        <v>8</v>
      </c>
      <c r="AG29" s="1">
        <v>13</v>
      </c>
      <c r="AH29" s="1">
        <v>15</v>
      </c>
      <c r="AI29" s="34">
        <v>0</v>
      </c>
      <c r="AJ29" s="51">
        <v>54.25</v>
      </c>
      <c r="AK29" s="1">
        <v>2492</v>
      </c>
      <c r="AL29" s="52">
        <v>311.5</v>
      </c>
      <c r="AM29" s="41">
        <v>354</v>
      </c>
      <c r="AN29" s="1">
        <v>6.78</v>
      </c>
      <c r="AO29" s="1">
        <v>889.2</v>
      </c>
      <c r="AP29" s="1">
        <v>111.2</v>
      </c>
      <c r="AQ29" s="1">
        <v>170</v>
      </c>
      <c r="AR29" s="1">
        <v>4.05</v>
      </c>
      <c r="AS29" s="1">
        <v>31.24</v>
      </c>
      <c r="AT29" s="11">
        <v>47940</v>
      </c>
    </row>
    <row r="30" spans="1:46" ht="14.25" customHeight="1" thickBot="1">
      <c r="A30" s="99"/>
      <c r="B30" s="302" t="str">
        <f>"Carico concentrato "&amp;T15&amp;"p="</f>
        <v>Carico concentrato 1p=</v>
      </c>
      <c r="C30" s="302"/>
      <c r="D30" s="203">
        <f>$T$15*D26*COS(D18*3.1415/180)*(1+IF(D20="",0,T12*D20))</f>
        <v>0</v>
      </c>
      <c r="E30" s="203">
        <f>$T$15*D26*SIN(D18*3.1415/180)*(1+IF(D20="",0,T12*D20))</f>
        <v>0</v>
      </c>
      <c r="F30" s="107" t="s">
        <v>4</v>
      </c>
      <c r="G30" s="99"/>
      <c r="H30" s="116"/>
      <c r="J30" s="81"/>
      <c r="K30" s="85" t="s">
        <v>188</v>
      </c>
      <c r="L30" s="94">
        <v>0</v>
      </c>
      <c r="M30" s="5" t="s">
        <v>178</v>
      </c>
      <c r="U30" s="128"/>
      <c r="AB30" s="10" t="s">
        <v>56</v>
      </c>
      <c r="AC30" s="1">
        <v>51.2</v>
      </c>
      <c r="AD30" s="1">
        <v>180</v>
      </c>
      <c r="AE30" s="1">
        <v>180</v>
      </c>
      <c r="AF30" s="1">
        <v>8.5</v>
      </c>
      <c r="AG30" s="1">
        <v>14</v>
      </c>
      <c r="AH30" s="1">
        <v>15</v>
      </c>
      <c r="AI30" s="34">
        <v>0</v>
      </c>
      <c r="AJ30" s="51">
        <v>65.25</v>
      </c>
      <c r="AK30" s="1">
        <v>3831</v>
      </c>
      <c r="AL30" s="52">
        <v>425.7</v>
      </c>
      <c r="AM30" s="41">
        <v>481.4</v>
      </c>
      <c r="AN30" s="1">
        <v>7.66</v>
      </c>
      <c r="AO30" s="1">
        <v>1363</v>
      </c>
      <c r="AP30" s="1">
        <v>151.4</v>
      </c>
      <c r="AQ30" s="1">
        <v>231</v>
      </c>
      <c r="AR30" s="1">
        <v>4.57</v>
      </c>
      <c r="AS30" s="1">
        <v>42.16</v>
      </c>
      <c r="AT30" s="11">
        <v>93750</v>
      </c>
    </row>
    <row r="31" spans="1:46" ht="15">
      <c r="A31" s="99"/>
      <c r="B31" s="303" t="s">
        <v>325</v>
      </c>
      <c r="C31" s="303"/>
      <c r="D31" s="120">
        <f>INDEX(P22:P28,J21)</f>
        <v>4</v>
      </c>
      <c r="E31" s="120">
        <f>INDEX(P22:P28,J21)</f>
        <v>4</v>
      </c>
      <c r="F31" s="103"/>
      <c r="G31" s="99"/>
      <c r="H31" s="116"/>
      <c r="L31" s="133" t="s">
        <v>205</v>
      </c>
      <c r="U31" s="128"/>
      <c r="AB31" s="10" t="s">
        <v>57</v>
      </c>
      <c r="AC31" s="1">
        <v>61.3</v>
      </c>
      <c r="AD31" s="1">
        <v>200</v>
      </c>
      <c r="AE31" s="1">
        <v>200</v>
      </c>
      <c r="AF31" s="1">
        <v>9</v>
      </c>
      <c r="AG31" s="1">
        <v>15</v>
      </c>
      <c r="AH31" s="1">
        <v>18</v>
      </c>
      <c r="AI31" s="34">
        <v>0</v>
      </c>
      <c r="AJ31" s="51">
        <v>78.08</v>
      </c>
      <c r="AK31" s="1">
        <v>5696</v>
      </c>
      <c r="AL31" s="52">
        <v>569.6</v>
      </c>
      <c r="AM31" s="41">
        <v>642.5</v>
      </c>
      <c r="AN31" s="1">
        <v>8.54</v>
      </c>
      <c r="AO31" s="1">
        <v>2003</v>
      </c>
      <c r="AP31" s="1">
        <v>200.3</v>
      </c>
      <c r="AQ31" s="1">
        <v>305.8</v>
      </c>
      <c r="AR31" s="1">
        <v>5.07</v>
      </c>
      <c r="AS31" s="1">
        <v>59.28</v>
      </c>
      <c r="AT31" s="11">
        <v>171100</v>
      </c>
    </row>
    <row r="32" spans="1:46" ht="12" customHeight="1">
      <c r="A32" s="99"/>
      <c r="B32" s="103"/>
      <c r="C32" s="106"/>
      <c r="D32" s="111"/>
      <c r="E32" s="107"/>
      <c r="F32" s="121"/>
      <c r="G32" s="99"/>
      <c r="H32" s="116"/>
      <c r="U32" s="128"/>
      <c r="AB32" s="10" t="s">
        <v>58</v>
      </c>
      <c r="AC32" s="1">
        <v>71.5</v>
      </c>
      <c r="AD32" s="1">
        <v>220</v>
      </c>
      <c r="AE32" s="1">
        <v>220</v>
      </c>
      <c r="AF32" s="1">
        <v>9.5</v>
      </c>
      <c r="AG32" s="1">
        <v>16</v>
      </c>
      <c r="AH32" s="1">
        <v>18</v>
      </c>
      <c r="AI32" s="34">
        <v>0</v>
      </c>
      <c r="AJ32" s="51">
        <v>91.04</v>
      </c>
      <c r="AK32" s="1">
        <v>8091</v>
      </c>
      <c r="AL32" s="52">
        <v>735.5</v>
      </c>
      <c r="AM32" s="41">
        <v>827</v>
      </c>
      <c r="AN32" s="1">
        <v>9.43</v>
      </c>
      <c r="AO32" s="1">
        <v>2843</v>
      </c>
      <c r="AP32" s="1">
        <v>258.5</v>
      </c>
      <c r="AQ32" s="1">
        <v>393.9</v>
      </c>
      <c r="AR32" s="1">
        <v>5.59</v>
      </c>
      <c r="AS32" s="1">
        <v>76.57</v>
      </c>
      <c r="AT32" s="11">
        <v>295400</v>
      </c>
    </row>
    <row r="33" spans="1:46" ht="15.75" thickBot="1">
      <c r="A33" s="99"/>
      <c r="B33" s="311" t="s">
        <v>191</v>
      </c>
      <c r="C33" s="311"/>
      <c r="D33" s="311"/>
      <c r="E33" s="311"/>
      <c r="F33" s="103"/>
      <c r="G33" s="99"/>
      <c r="H33" s="116"/>
      <c r="U33" s="128"/>
      <c r="AB33" s="10" t="s">
        <v>59</v>
      </c>
      <c r="AC33" s="1">
        <v>83.2</v>
      </c>
      <c r="AD33" s="1">
        <v>240</v>
      </c>
      <c r="AE33" s="1">
        <v>240</v>
      </c>
      <c r="AF33" s="1">
        <v>10</v>
      </c>
      <c r="AG33" s="1">
        <v>17</v>
      </c>
      <c r="AH33" s="1">
        <v>21</v>
      </c>
      <c r="AI33" s="34">
        <v>0</v>
      </c>
      <c r="AJ33" s="51">
        <v>106</v>
      </c>
      <c r="AK33" s="1">
        <v>11260</v>
      </c>
      <c r="AL33" s="52">
        <v>938.3</v>
      </c>
      <c r="AM33" s="41">
        <v>1053</v>
      </c>
      <c r="AN33" s="1">
        <v>10.31</v>
      </c>
      <c r="AO33" s="1">
        <v>3923</v>
      </c>
      <c r="AP33" s="1">
        <v>326.9</v>
      </c>
      <c r="AQ33" s="1">
        <v>498.4</v>
      </c>
      <c r="AR33" s="1">
        <v>6.08</v>
      </c>
      <c r="AS33" s="1">
        <v>102.7</v>
      </c>
      <c r="AT33" s="11">
        <v>486900</v>
      </c>
    </row>
    <row r="34" spans="1:46" ht="15.75" thickBot="1">
      <c r="A34" s="99"/>
      <c r="B34" s="103"/>
      <c r="C34" s="106"/>
      <c r="D34" s="103"/>
      <c r="E34" s="107"/>
      <c r="F34" s="103"/>
      <c r="G34" s="99"/>
      <c r="H34" s="116"/>
      <c r="J34" s="81" t="s">
        <v>336</v>
      </c>
      <c r="K34" s="94">
        <v>0</v>
      </c>
      <c r="L34" s="94">
        <v>0</v>
      </c>
      <c r="M34" s="5" t="s">
        <v>7</v>
      </c>
      <c r="N34" s="288" t="s">
        <v>242</v>
      </c>
      <c r="O34" s="289"/>
      <c r="P34" s="290"/>
      <c r="U34" s="128"/>
      <c r="AB34" s="10" t="s">
        <v>60</v>
      </c>
      <c r="AC34" s="1">
        <v>93</v>
      </c>
      <c r="AD34" s="1">
        <v>260</v>
      </c>
      <c r="AE34" s="1">
        <v>260</v>
      </c>
      <c r="AF34" s="1">
        <v>10</v>
      </c>
      <c r="AG34" s="1">
        <v>17.5</v>
      </c>
      <c r="AH34" s="1">
        <v>24</v>
      </c>
      <c r="AI34" s="34">
        <v>0</v>
      </c>
      <c r="AJ34" s="51">
        <v>118.4</v>
      </c>
      <c r="AK34" s="1">
        <v>14920</v>
      </c>
      <c r="AL34" s="52">
        <v>1148</v>
      </c>
      <c r="AM34" s="41">
        <v>1283</v>
      </c>
      <c r="AN34" s="1">
        <v>11.22</v>
      </c>
      <c r="AO34" s="1">
        <v>5135</v>
      </c>
      <c r="AP34" s="1">
        <v>395</v>
      </c>
      <c r="AQ34" s="1">
        <v>602.2</v>
      </c>
      <c r="AR34" s="1">
        <v>6.58</v>
      </c>
      <c r="AS34" s="1">
        <v>123.8</v>
      </c>
      <c r="AT34" s="11">
        <v>753700</v>
      </c>
    </row>
    <row r="35" spans="1:46" ht="15.75" thickBot="1">
      <c r="A35" s="99"/>
      <c r="B35" s="313" t="str">
        <f>"Comb. Carico: "&amp;T11&amp;"G+"&amp;T12&amp;"P+"&amp;T13&amp;"Q+"&amp;T14&amp;"q+"&amp;T15&amp;"p"</f>
        <v>Comb. Carico: 1G+1P+1Q+1q+1p</v>
      </c>
      <c r="C35" s="313"/>
      <c r="D35" s="313"/>
      <c r="E35" s="107"/>
      <c r="F35" s="103"/>
      <c r="G35" s="99"/>
      <c r="H35" s="116"/>
      <c r="L35" s="133" t="s">
        <v>228</v>
      </c>
      <c r="N35" s="72" t="s">
        <v>163</v>
      </c>
      <c r="O35" s="87"/>
      <c r="P35" s="87"/>
      <c r="Q35" s="207">
        <v>500</v>
      </c>
      <c r="U35" s="128"/>
      <c r="AB35" s="10" t="s">
        <v>61</v>
      </c>
      <c r="AC35" s="1">
        <v>103</v>
      </c>
      <c r="AD35" s="1">
        <v>280</v>
      </c>
      <c r="AE35" s="1">
        <v>280</v>
      </c>
      <c r="AF35" s="1">
        <v>10.5</v>
      </c>
      <c r="AG35" s="1">
        <v>18</v>
      </c>
      <c r="AH35" s="1">
        <v>24</v>
      </c>
      <c r="AI35" s="34">
        <v>0</v>
      </c>
      <c r="AJ35" s="51">
        <v>131.4</v>
      </c>
      <c r="AK35" s="1">
        <v>19270</v>
      </c>
      <c r="AL35" s="52">
        <v>1376</v>
      </c>
      <c r="AM35" s="41">
        <v>1534</v>
      </c>
      <c r="AN35" s="1">
        <v>12.11</v>
      </c>
      <c r="AO35" s="1">
        <v>6595</v>
      </c>
      <c r="AP35" s="1">
        <v>471</v>
      </c>
      <c r="AQ35" s="1">
        <v>717.6</v>
      </c>
      <c r="AR35" s="1">
        <v>7.09</v>
      </c>
      <c r="AS35" s="1">
        <v>143.7</v>
      </c>
      <c r="AT35" s="11">
        <v>1130000</v>
      </c>
    </row>
    <row r="36" spans="1:46" ht="15" customHeight="1" thickBot="1">
      <c r="A36" s="99"/>
      <c r="B36" s="292" t="s">
        <v>5</v>
      </c>
      <c r="C36" s="292"/>
      <c r="D36" s="110">
        <f>IF(K34=0,D28/D29*$D$16^2+D30*$D$16/D31,K34)</f>
        <v>377.6</v>
      </c>
      <c r="E36" s="110">
        <f>IF(L34=0,E28/E29*$D$16^2+E30*$D$16/E31,L34)</f>
        <v>0</v>
      </c>
      <c r="F36" s="107" t="s">
        <v>7</v>
      </c>
      <c r="G36" s="103"/>
      <c r="H36" s="118"/>
      <c r="J36" s="104" t="s">
        <v>166</v>
      </c>
      <c r="N36" s="73" t="s">
        <v>164</v>
      </c>
      <c r="O36" s="88"/>
      <c r="P36" s="88"/>
      <c r="Q36" s="208">
        <v>400</v>
      </c>
      <c r="U36" s="128"/>
      <c r="AB36" s="10" t="s">
        <v>62</v>
      </c>
      <c r="AC36" s="1">
        <v>117</v>
      </c>
      <c r="AD36" s="1">
        <v>300</v>
      </c>
      <c r="AE36" s="1">
        <v>300</v>
      </c>
      <c r="AF36" s="1">
        <v>11</v>
      </c>
      <c r="AG36" s="1">
        <v>19</v>
      </c>
      <c r="AH36" s="1">
        <v>27</v>
      </c>
      <c r="AI36" s="34">
        <v>0</v>
      </c>
      <c r="AJ36" s="51">
        <v>149.1</v>
      </c>
      <c r="AK36" s="1">
        <v>25170</v>
      </c>
      <c r="AL36" s="52">
        <v>1678</v>
      </c>
      <c r="AM36" s="41">
        <v>1869</v>
      </c>
      <c r="AN36" s="1">
        <v>12.99</v>
      </c>
      <c r="AO36" s="1">
        <v>8563</v>
      </c>
      <c r="AP36" s="1">
        <v>570.9</v>
      </c>
      <c r="AQ36" s="1">
        <v>870.1</v>
      </c>
      <c r="AR36" s="1">
        <v>7.58</v>
      </c>
      <c r="AS36" s="1">
        <v>185</v>
      </c>
      <c r="AT36" s="11">
        <v>1688000</v>
      </c>
    </row>
    <row r="37" spans="1:46" ht="15" customHeight="1" thickBot="1">
      <c r="A37" s="99"/>
      <c r="B37" s="292" t="s">
        <v>128</v>
      </c>
      <c r="C37" s="292"/>
      <c r="D37" s="111">
        <f>D36*100/C14/IF(AND(AND($J$9&gt;3,$J$9&lt;8),$J$13=148),C15,1)</f>
        <v>996.0432603534688</v>
      </c>
      <c r="E37" s="111">
        <f>E36*100/E14/IF(AND(AND($J$9&gt;3,$J$9&lt;8),$J$13=148),E15,1)</f>
        <v>0</v>
      </c>
      <c r="F37" s="107" t="s">
        <v>179</v>
      </c>
      <c r="G37" s="103"/>
      <c r="H37" s="118"/>
      <c r="J37" s="67"/>
      <c r="K37" s="68"/>
      <c r="L37" s="68"/>
      <c r="N37" s="73" t="s">
        <v>241</v>
      </c>
      <c r="O37" s="88"/>
      <c r="P37" s="88"/>
      <c r="Q37" s="208">
        <v>300</v>
      </c>
      <c r="U37" s="128"/>
      <c r="AB37" s="10" t="s">
        <v>63</v>
      </c>
      <c r="AC37" s="1">
        <v>127</v>
      </c>
      <c r="AD37" s="1">
        <v>320</v>
      </c>
      <c r="AE37" s="1">
        <v>300</v>
      </c>
      <c r="AF37" s="1">
        <v>11.5</v>
      </c>
      <c r="AG37" s="1">
        <v>20.5</v>
      </c>
      <c r="AH37" s="1">
        <v>27</v>
      </c>
      <c r="AI37" s="34">
        <v>0</v>
      </c>
      <c r="AJ37" s="51">
        <v>161.3</v>
      </c>
      <c r="AK37" s="1">
        <v>30820</v>
      </c>
      <c r="AL37" s="52">
        <v>1926</v>
      </c>
      <c r="AM37" s="41">
        <v>2149</v>
      </c>
      <c r="AN37" s="1">
        <v>13.82</v>
      </c>
      <c r="AO37" s="1">
        <v>9239</v>
      </c>
      <c r="AP37" s="1">
        <v>615.9</v>
      </c>
      <c r="AQ37" s="1">
        <v>939.1</v>
      </c>
      <c r="AR37" s="1">
        <v>7.57</v>
      </c>
      <c r="AS37" s="1">
        <v>225.1</v>
      </c>
      <c r="AT37" s="11">
        <v>2069000</v>
      </c>
    </row>
    <row r="38" spans="1:46" ht="15.75" thickBot="1">
      <c r="A38" s="99"/>
      <c r="B38" s="302" t="s">
        <v>333</v>
      </c>
      <c r="C38" s="302"/>
      <c r="D38" s="111">
        <f>D37+E37</f>
        <v>996.0432603534688</v>
      </c>
      <c r="E38" s="107" t="s">
        <v>179</v>
      </c>
      <c r="F38" s="122" t="str">
        <f>IF(D38&lt;D9,INT(D38/D9*100+0.5)&amp;"%(VERIFICATO)","(NON VERIFICATO)")</f>
        <v>62%(VERIFICATO)</v>
      </c>
      <c r="G38" s="103"/>
      <c r="H38" s="118"/>
      <c r="J38" s="96">
        <v>4</v>
      </c>
      <c r="K38" s="7"/>
      <c r="L38" s="7"/>
      <c r="N38" s="75" t="s">
        <v>165</v>
      </c>
      <c r="O38" s="148"/>
      <c r="P38" s="148"/>
      <c r="Q38" s="208">
        <v>200</v>
      </c>
      <c r="U38" s="128"/>
      <c r="AB38" s="10" t="s">
        <v>64</v>
      </c>
      <c r="AC38" s="1">
        <v>134</v>
      </c>
      <c r="AD38" s="1">
        <v>340</v>
      </c>
      <c r="AE38" s="1">
        <v>300</v>
      </c>
      <c r="AF38" s="1">
        <v>12</v>
      </c>
      <c r="AG38" s="1">
        <v>21.5</v>
      </c>
      <c r="AH38" s="1">
        <v>27</v>
      </c>
      <c r="AI38" s="34">
        <v>0</v>
      </c>
      <c r="AJ38" s="51">
        <v>170.9</v>
      </c>
      <c r="AK38" s="1">
        <v>36660</v>
      </c>
      <c r="AL38" s="52">
        <v>2156</v>
      </c>
      <c r="AM38" s="41">
        <v>2408</v>
      </c>
      <c r="AN38" s="1">
        <v>14.65</v>
      </c>
      <c r="AO38" s="1">
        <v>9690</v>
      </c>
      <c r="AP38" s="1">
        <v>646</v>
      </c>
      <c r="AQ38" s="1">
        <v>985.7</v>
      </c>
      <c r="AR38" s="1">
        <v>7.53</v>
      </c>
      <c r="AS38" s="1">
        <v>257.2</v>
      </c>
      <c r="AT38" s="11">
        <v>2454000</v>
      </c>
    </row>
    <row r="39" spans="1:46" ht="15.75" thickBot="1">
      <c r="A39" s="99"/>
      <c r="B39" s="103"/>
      <c r="C39" s="106"/>
      <c r="D39" s="123"/>
      <c r="E39" s="107"/>
      <c r="G39" s="103"/>
      <c r="H39" s="118"/>
      <c r="J39" s="248">
        <f>IF($J$38=6,"Inserire i dati a lato","")</f>
      </c>
      <c r="N39" s="81" t="s">
        <v>203</v>
      </c>
      <c r="O39" s="88"/>
      <c r="P39" s="88"/>
      <c r="Q39" s="209"/>
      <c r="U39" s="128"/>
      <c r="AB39" s="10" t="s">
        <v>65</v>
      </c>
      <c r="AC39" s="1">
        <v>142</v>
      </c>
      <c r="AD39" s="1">
        <v>360</v>
      </c>
      <c r="AE39" s="1">
        <v>300</v>
      </c>
      <c r="AF39" s="1">
        <v>12.5</v>
      </c>
      <c r="AG39" s="1">
        <v>22.5</v>
      </c>
      <c r="AH39" s="1">
        <v>27</v>
      </c>
      <c r="AI39" s="34">
        <v>0</v>
      </c>
      <c r="AJ39" s="51">
        <v>180.6</v>
      </c>
      <c r="AK39" s="1">
        <v>43190</v>
      </c>
      <c r="AL39" s="52">
        <v>2400</v>
      </c>
      <c r="AM39" s="41">
        <v>2683</v>
      </c>
      <c r="AN39" s="1">
        <v>15.46</v>
      </c>
      <c r="AO39" s="1">
        <v>10140</v>
      </c>
      <c r="AP39" s="1">
        <v>676.1</v>
      </c>
      <c r="AQ39" s="1">
        <v>1032</v>
      </c>
      <c r="AR39" s="1">
        <v>7.49</v>
      </c>
      <c r="AS39" s="1">
        <v>292.5</v>
      </c>
      <c r="AT39" s="11">
        <v>2883000</v>
      </c>
    </row>
    <row r="40" spans="1:46" ht="16.5" customHeight="1" thickBot="1">
      <c r="A40" s="99"/>
      <c r="B40" s="311" t="s">
        <v>349</v>
      </c>
      <c r="C40" s="311"/>
      <c r="D40" s="123"/>
      <c r="E40" s="107"/>
      <c r="G40" s="103"/>
      <c r="H40" s="118"/>
      <c r="J40" s="104" t="s">
        <v>361</v>
      </c>
      <c r="M40" s="249">
        <f>IF($J$38=6,"===&gt;&gt;","")</f>
      </c>
      <c r="N40" s="285" t="s">
        <v>240</v>
      </c>
      <c r="O40" s="286"/>
      <c r="P40" s="287"/>
      <c r="Q40" s="210">
        <v>200</v>
      </c>
      <c r="U40" s="128"/>
      <c r="AB40" s="10" t="s">
        <v>66</v>
      </c>
      <c r="AC40" s="1">
        <v>155</v>
      </c>
      <c r="AD40" s="1">
        <v>400</v>
      </c>
      <c r="AE40" s="1">
        <v>300</v>
      </c>
      <c r="AF40" s="1">
        <v>13.5</v>
      </c>
      <c r="AG40" s="1">
        <v>24</v>
      </c>
      <c r="AH40" s="1">
        <v>27</v>
      </c>
      <c r="AI40" s="34">
        <v>0</v>
      </c>
      <c r="AJ40" s="51">
        <v>197.8</v>
      </c>
      <c r="AK40" s="1">
        <v>57680</v>
      </c>
      <c r="AL40" s="52">
        <v>2884</v>
      </c>
      <c r="AM40" s="41">
        <v>3232</v>
      </c>
      <c r="AN40" s="1">
        <v>17.08</v>
      </c>
      <c r="AO40" s="1">
        <v>10820</v>
      </c>
      <c r="AP40" s="1">
        <v>721.3</v>
      </c>
      <c r="AQ40" s="1">
        <v>1104</v>
      </c>
      <c r="AR40" s="1">
        <v>7.4</v>
      </c>
      <c r="AS40" s="1">
        <v>355.7</v>
      </c>
      <c r="AT40" s="11">
        <v>3817000</v>
      </c>
    </row>
    <row r="41" spans="1:46" ht="19.5" customHeight="1">
      <c r="A41" s="99"/>
      <c r="B41" s="292" t="s">
        <v>162</v>
      </c>
      <c r="C41" s="292"/>
      <c r="D41" s="312" t="str">
        <f>IF(J38=2,T13&amp;"Q+"&amp;T15&amp;"p",T11&amp;"G+"&amp;T12&amp;"P+"&amp;T13&amp;"Q+"&amp;T14&amp;"q+"&amp;T15&amp;"p")</f>
        <v>1G+1P+1Q+1q+1p</v>
      </c>
      <c r="E41" s="312"/>
      <c r="F41" s="103"/>
      <c r="G41" s="103"/>
      <c r="H41" s="116"/>
      <c r="J41" s="198" t="s">
        <v>230</v>
      </c>
      <c r="K41" s="199"/>
      <c r="L41" s="200">
        <f>D42*C13*(IF(J38=5,300,E44))/D16/100</f>
        <v>149.84126984126985</v>
      </c>
      <c r="M41" s="195">
        <f>INDEX(R22:R28,J21)</f>
        <v>0.020833333333333332</v>
      </c>
      <c r="U41" s="128"/>
      <c r="AB41" s="10" t="s">
        <v>67</v>
      </c>
      <c r="AC41" s="1">
        <v>171</v>
      </c>
      <c r="AD41" s="1">
        <v>450</v>
      </c>
      <c r="AE41" s="1">
        <v>300</v>
      </c>
      <c r="AF41" s="1">
        <v>14</v>
      </c>
      <c r="AG41" s="1">
        <v>26</v>
      </c>
      <c r="AH41" s="1">
        <v>27</v>
      </c>
      <c r="AI41" s="34">
        <v>0</v>
      </c>
      <c r="AJ41" s="51">
        <v>218</v>
      </c>
      <c r="AK41" s="1">
        <v>79890</v>
      </c>
      <c r="AL41" s="52">
        <v>3551</v>
      </c>
      <c r="AM41" s="41">
        <v>3982</v>
      </c>
      <c r="AN41" s="1">
        <v>19.14</v>
      </c>
      <c r="AO41" s="1">
        <v>11720</v>
      </c>
      <c r="AP41" s="1">
        <v>781.4</v>
      </c>
      <c r="AQ41" s="1">
        <v>1198</v>
      </c>
      <c r="AR41" s="1">
        <v>7.33</v>
      </c>
      <c r="AS41" s="1">
        <v>440.5</v>
      </c>
      <c r="AT41" s="11">
        <v>5258000</v>
      </c>
    </row>
    <row r="42" spans="1:46" ht="15">
      <c r="A42" s="99"/>
      <c r="B42" s="302" t="s">
        <v>343</v>
      </c>
      <c r="C42" s="302"/>
      <c r="D42" s="273">
        <f>IF(J38=2,M41*D30*(D16*100)^3/D8/C13+M42*T13*D23*COS(D18*3.1415/180)*(1+IF(D20="",0,D20))*D17/100*(D16*100)^4/D8/C13,INDEX(R22:R28,J21)*D30*(D16*100)^3/D8/C13+INDEX(Q22:Q28,J21)*D28/100*(D16*100)^4/D8/C13)</f>
        <v>1.317517540150091</v>
      </c>
      <c r="E42" s="273">
        <f>IF(J38=2,M41*E30*(D16*100)^3/D8/E13+M42*T13*D23*SIN(D18*3.1415/180)*(1+IF(D20="",0,D20))*D17/100*(D16*100)^4/D8/E13,M41*E30*(D16*100)^3/D8/E13+M42*E28/100*(D16*100)^4/D8/E13)</f>
        <v>0</v>
      </c>
      <c r="F42" s="107" t="s">
        <v>130</v>
      </c>
      <c r="G42" s="103"/>
      <c r="H42" s="128"/>
      <c r="J42" s="196" t="s">
        <v>231</v>
      </c>
      <c r="K42" s="197"/>
      <c r="L42" s="201">
        <f>D36*100/D9</f>
        <v>23.6</v>
      </c>
      <c r="M42" s="195">
        <f>INDEX(Q22:Q28,J21)</f>
        <v>0.013020833333333334</v>
      </c>
      <c r="U42" s="128"/>
      <c r="AB42" s="10" t="s">
        <v>68</v>
      </c>
      <c r="AC42" s="1">
        <v>187</v>
      </c>
      <c r="AD42" s="1">
        <v>500</v>
      </c>
      <c r="AE42" s="1">
        <v>300</v>
      </c>
      <c r="AF42" s="1">
        <v>14.5</v>
      </c>
      <c r="AG42" s="1">
        <v>28</v>
      </c>
      <c r="AH42" s="1">
        <v>27</v>
      </c>
      <c r="AI42" s="34">
        <v>0</v>
      </c>
      <c r="AJ42" s="51">
        <v>238.6</v>
      </c>
      <c r="AK42" s="1">
        <v>107200</v>
      </c>
      <c r="AL42" s="52">
        <v>4287</v>
      </c>
      <c r="AM42" s="41">
        <v>4815</v>
      </c>
      <c r="AN42" s="1">
        <v>21.19</v>
      </c>
      <c r="AO42" s="1">
        <v>12620</v>
      </c>
      <c r="AP42" s="1">
        <v>841.6</v>
      </c>
      <c r="AQ42" s="1">
        <v>1292</v>
      </c>
      <c r="AR42" s="1">
        <v>7.27</v>
      </c>
      <c r="AS42" s="1">
        <v>538.4</v>
      </c>
      <c r="AT42" s="11">
        <v>7018000</v>
      </c>
    </row>
    <row r="43" spans="1:46" ht="15">
      <c r="A43" s="99"/>
      <c r="B43" s="302" t="s">
        <v>344</v>
      </c>
      <c r="C43" s="302"/>
      <c r="D43" s="273">
        <f>(D42^2+E42^2)^0.5</f>
        <v>1.317517540150091</v>
      </c>
      <c r="E43" s="274"/>
      <c r="G43" s="122"/>
      <c r="H43" s="128"/>
      <c r="U43" s="128"/>
      <c r="AB43" s="10" t="s">
        <v>69</v>
      </c>
      <c r="AC43" s="1">
        <v>199</v>
      </c>
      <c r="AD43" s="1">
        <v>550</v>
      </c>
      <c r="AE43" s="1">
        <v>300</v>
      </c>
      <c r="AF43" s="1">
        <v>15</v>
      </c>
      <c r="AG43" s="1">
        <v>29</v>
      </c>
      <c r="AH43" s="1">
        <v>27</v>
      </c>
      <c r="AI43" s="34">
        <v>0</v>
      </c>
      <c r="AJ43" s="51">
        <v>254.1</v>
      </c>
      <c r="AK43" s="1">
        <v>136700</v>
      </c>
      <c r="AL43" s="52">
        <v>4971</v>
      </c>
      <c r="AM43" s="41">
        <v>5591</v>
      </c>
      <c r="AN43" s="1">
        <v>23.2</v>
      </c>
      <c r="AO43" s="1">
        <v>13080</v>
      </c>
      <c r="AP43" s="1">
        <v>871.8</v>
      </c>
      <c r="AQ43" s="1">
        <v>1341</v>
      </c>
      <c r="AR43" s="1">
        <v>7.17</v>
      </c>
      <c r="AS43" s="1">
        <v>600.3</v>
      </c>
      <c r="AT43" s="11">
        <v>8856000</v>
      </c>
    </row>
    <row r="44" spans="2:46" ht="15">
      <c r="B44" s="292" t="s">
        <v>129</v>
      </c>
      <c r="C44" s="292"/>
      <c r="D44" s="124">
        <f>D16*100/D43</f>
        <v>303.60127118644067</v>
      </c>
      <c r="E44" s="125">
        <f>IF(J38=5,"",INDEX(Q35:Q40,J38))</f>
        <v>200</v>
      </c>
      <c r="F44" s="122" t="str">
        <f>IF(J38=5,"",IF(D44&gt;E44,"(VERIFICATO)","(NON VERIFICATO)"))</f>
        <v>(VERIFICATO)</v>
      </c>
      <c r="G44" s="99"/>
      <c r="H44" s="128"/>
      <c r="U44" s="128"/>
      <c r="AB44" s="10" t="s">
        <v>70</v>
      </c>
      <c r="AC44" s="1">
        <v>212</v>
      </c>
      <c r="AD44" s="1">
        <v>600</v>
      </c>
      <c r="AE44" s="1">
        <v>300</v>
      </c>
      <c r="AF44" s="1">
        <v>15.5</v>
      </c>
      <c r="AG44" s="1">
        <v>30</v>
      </c>
      <c r="AH44" s="1">
        <v>27</v>
      </c>
      <c r="AI44" s="34">
        <v>0</v>
      </c>
      <c r="AJ44" s="51">
        <v>270</v>
      </c>
      <c r="AK44" s="1">
        <v>171000</v>
      </c>
      <c r="AL44" s="52">
        <v>5701</v>
      </c>
      <c r="AM44" s="41">
        <v>6425</v>
      </c>
      <c r="AN44" s="1">
        <v>25.17</v>
      </c>
      <c r="AO44" s="1">
        <v>13530</v>
      </c>
      <c r="AP44" s="1">
        <v>902</v>
      </c>
      <c r="AQ44" s="1">
        <v>1391</v>
      </c>
      <c r="AR44" s="1">
        <v>7.08</v>
      </c>
      <c r="AS44" s="1">
        <v>667.2</v>
      </c>
      <c r="AT44" s="11">
        <v>10970000</v>
      </c>
    </row>
    <row r="45" spans="2:46" ht="15">
      <c r="B45" s="106"/>
      <c r="C45" s="106"/>
      <c r="D45" s="124"/>
      <c r="E45" s="125"/>
      <c r="F45" s="122"/>
      <c r="G45" s="99"/>
      <c r="H45" s="128"/>
      <c r="U45" s="128"/>
      <c r="AB45" s="10" t="s">
        <v>71</v>
      </c>
      <c r="AC45" s="1">
        <v>225</v>
      </c>
      <c r="AD45" s="1">
        <v>650</v>
      </c>
      <c r="AE45" s="1">
        <v>300</v>
      </c>
      <c r="AF45" s="1">
        <v>16</v>
      </c>
      <c r="AG45" s="1">
        <v>31</v>
      </c>
      <c r="AH45" s="1">
        <v>27</v>
      </c>
      <c r="AI45" s="34">
        <v>0</v>
      </c>
      <c r="AJ45" s="51">
        <v>286.3</v>
      </c>
      <c r="AK45" s="1">
        <v>210600</v>
      </c>
      <c r="AL45" s="52">
        <v>6480</v>
      </c>
      <c r="AM45" s="41">
        <v>7320</v>
      </c>
      <c r="AN45" s="1">
        <v>27.12</v>
      </c>
      <c r="AO45" s="1">
        <v>13980</v>
      </c>
      <c r="AP45" s="1">
        <v>932.3</v>
      </c>
      <c r="AQ45" s="1">
        <v>1441</v>
      </c>
      <c r="AR45" s="1">
        <v>6.99</v>
      </c>
      <c r="AS45" s="1">
        <v>739.2</v>
      </c>
      <c r="AT45" s="11">
        <v>13360000</v>
      </c>
    </row>
    <row r="46" spans="1:46" ht="15">
      <c r="A46" s="128"/>
      <c r="B46" s="128"/>
      <c r="C46" s="129"/>
      <c r="D46" s="128"/>
      <c r="E46" s="130"/>
      <c r="F46" s="128"/>
      <c r="G46" s="128"/>
      <c r="H46" s="128"/>
      <c r="I46" s="128"/>
      <c r="J46" s="128"/>
      <c r="K46" s="119"/>
      <c r="L46" s="128"/>
      <c r="M46" s="134"/>
      <c r="N46" s="119"/>
      <c r="O46" s="119"/>
      <c r="P46" s="119"/>
      <c r="Q46" s="119"/>
      <c r="R46" s="128"/>
      <c r="S46" s="128"/>
      <c r="T46" s="128"/>
      <c r="U46" s="128"/>
      <c r="AB46" s="10" t="s">
        <v>72</v>
      </c>
      <c r="AC46" s="1">
        <v>241</v>
      </c>
      <c r="AD46" s="1">
        <v>700</v>
      </c>
      <c r="AE46" s="1">
        <v>300</v>
      </c>
      <c r="AF46" s="1">
        <v>17</v>
      </c>
      <c r="AG46" s="1">
        <v>32</v>
      </c>
      <c r="AH46" s="1">
        <v>27</v>
      </c>
      <c r="AI46" s="34">
        <v>0</v>
      </c>
      <c r="AJ46" s="51">
        <v>306.4</v>
      </c>
      <c r="AK46" s="1">
        <v>256900</v>
      </c>
      <c r="AL46" s="52">
        <v>7340</v>
      </c>
      <c r="AM46" s="41">
        <v>8327</v>
      </c>
      <c r="AN46" s="1">
        <v>28.96</v>
      </c>
      <c r="AO46" s="1">
        <v>14440</v>
      </c>
      <c r="AP46" s="1">
        <v>962.7</v>
      </c>
      <c r="AQ46" s="1">
        <v>1495</v>
      </c>
      <c r="AR46" s="1">
        <v>6.87</v>
      </c>
      <c r="AS46" s="1">
        <v>830.9</v>
      </c>
      <c r="AT46" s="11">
        <v>16060000</v>
      </c>
    </row>
    <row r="47" spans="3:46" ht="13.5" customHeight="1">
      <c r="C47" s="4" t="s">
        <v>229</v>
      </c>
      <c r="AB47" s="10" t="s">
        <v>73</v>
      </c>
      <c r="AC47" s="1">
        <v>262</v>
      </c>
      <c r="AD47" s="1">
        <v>800</v>
      </c>
      <c r="AE47" s="1">
        <v>300</v>
      </c>
      <c r="AF47" s="1">
        <v>17.5</v>
      </c>
      <c r="AG47" s="1">
        <v>33</v>
      </c>
      <c r="AH47" s="1">
        <v>30</v>
      </c>
      <c r="AI47" s="34">
        <v>0</v>
      </c>
      <c r="AJ47" s="51">
        <v>334.2</v>
      </c>
      <c r="AK47" s="1">
        <v>359100</v>
      </c>
      <c r="AL47" s="52">
        <v>8977</v>
      </c>
      <c r="AM47" s="41">
        <v>10230</v>
      </c>
      <c r="AN47" s="1">
        <v>32.78</v>
      </c>
      <c r="AO47" s="1">
        <v>14900</v>
      </c>
      <c r="AP47" s="1">
        <v>993.6</v>
      </c>
      <c r="AQ47" s="1">
        <v>1553</v>
      </c>
      <c r="AR47" s="1">
        <v>6.68</v>
      </c>
      <c r="AS47" s="1">
        <v>946</v>
      </c>
      <c r="AT47" s="11">
        <v>21840000</v>
      </c>
    </row>
    <row r="48" spans="5:46" ht="15">
      <c r="E48" s="270" t="s">
        <v>337</v>
      </c>
      <c r="F48" s="3" t="s">
        <v>352</v>
      </c>
      <c r="AB48" s="10" t="s">
        <v>74</v>
      </c>
      <c r="AC48" s="1">
        <v>291</v>
      </c>
      <c r="AD48" s="1">
        <v>900</v>
      </c>
      <c r="AE48" s="1">
        <v>300</v>
      </c>
      <c r="AF48" s="1">
        <v>18.5</v>
      </c>
      <c r="AG48" s="1">
        <v>35</v>
      </c>
      <c r="AH48" s="1">
        <v>30</v>
      </c>
      <c r="AI48" s="34">
        <v>0</v>
      </c>
      <c r="AJ48" s="51">
        <v>371.3</v>
      </c>
      <c r="AK48" s="1">
        <v>494100</v>
      </c>
      <c r="AL48" s="52">
        <v>10980</v>
      </c>
      <c r="AM48" s="41">
        <v>12580</v>
      </c>
      <c r="AN48" s="1">
        <v>36.48</v>
      </c>
      <c r="AO48" s="1">
        <v>15820</v>
      </c>
      <c r="AP48" s="1">
        <v>1054</v>
      </c>
      <c r="AQ48" s="1">
        <v>1658</v>
      </c>
      <c r="AR48" s="1">
        <v>6.53</v>
      </c>
      <c r="AS48" s="1">
        <v>1137</v>
      </c>
      <c r="AT48" s="11">
        <v>29460000</v>
      </c>
    </row>
    <row r="49" spans="5:46" ht="15.75" thickBot="1">
      <c r="E49" s="270"/>
      <c r="AB49" s="21" t="s">
        <v>52</v>
      </c>
      <c r="AC49" s="22">
        <v>314</v>
      </c>
      <c r="AD49" s="22">
        <v>1000</v>
      </c>
      <c r="AE49" s="22">
        <v>300</v>
      </c>
      <c r="AF49" s="22">
        <v>19</v>
      </c>
      <c r="AG49" s="22">
        <v>36</v>
      </c>
      <c r="AH49" s="22">
        <v>30</v>
      </c>
      <c r="AI49" s="35">
        <v>0</v>
      </c>
      <c r="AJ49" s="53">
        <v>400</v>
      </c>
      <c r="AK49" s="22">
        <v>644700</v>
      </c>
      <c r="AL49" s="54">
        <v>12890</v>
      </c>
      <c r="AM49" s="42">
        <v>14860</v>
      </c>
      <c r="AN49" s="22">
        <v>40.15</v>
      </c>
      <c r="AO49" s="22">
        <v>16280</v>
      </c>
      <c r="AP49" s="22">
        <v>1085</v>
      </c>
      <c r="AQ49" s="22">
        <v>1716</v>
      </c>
      <c r="AR49" s="22">
        <v>6.38</v>
      </c>
      <c r="AS49" s="22">
        <v>1254</v>
      </c>
      <c r="AT49" s="23">
        <v>37640000</v>
      </c>
    </row>
    <row r="50" spans="2:46" ht="15.75" thickBot="1">
      <c r="B50" s="305" t="s">
        <v>356</v>
      </c>
      <c r="C50" s="306"/>
      <c r="D50" s="306"/>
      <c r="E50" s="306"/>
      <c r="F50" s="306"/>
      <c r="G50" s="307"/>
      <c r="AB50" s="10" t="s">
        <v>76</v>
      </c>
      <c r="AC50" s="1">
        <v>88.9</v>
      </c>
      <c r="AD50" s="1">
        <v>200</v>
      </c>
      <c r="AE50" s="1">
        <v>186</v>
      </c>
      <c r="AF50" s="1">
        <v>14.5</v>
      </c>
      <c r="AG50" s="1">
        <v>24</v>
      </c>
      <c r="AH50" s="1">
        <v>15</v>
      </c>
      <c r="AI50" s="34">
        <v>0</v>
      </c>
      <c r="AJ50" s="51">
        <v>113.3</v>
      </c>
      <c r="AK50" s="1">
        <v>7483</v>
      </c>
      <c r="AL50" s="52">
        <v>748.3</v>
      </c>
      <c r="AM50" s="41">
        <v>883.4</v>
      </c>
      <c r="AN50" s="1">
        <v>8.13</v>
      </c>
      <c r="AO50" s="1">
        <v>2580</v>
      </c>
      <c r="AP50" s="1">
        <v>277.4</v>
      </c>
      <c r="AQ50" s="1">
        <v>425.2</v>
      </c>
      <c r="AR50" s="1">
        <v>4.77</v>
      </c>
      <c r="AS50" s="1">
        <v>203.3</v>
      </c>
      <c r="AT50" s="11">
        <v>199300</v>
      </c>
    </row>
    <row r="51" spans="2:46" ht="15.75" thickBot="1">
      <c r="B51" s="308" t="s">
        <v>357</v>
      </c>
      <c r="C51" s="309"/>
      <c r="D51" s="309"/>
      <c r="E51" s="309"/>
      <c r="F51" s="309"/>
      <c r="G51" s="310"/>
      <c r="AB51" s="10" t="s">
        <v>77</v>
      </c>
      <c r="AC51" s="1">
        <v>103</v>
      </c>
      <c r="AD51" s="1">
        <v>220</v>
      </c>
      <c r="AE51" s="1">
        <v>206</v>
      </c>
      <c r="AF51" s="1">
        <v>15</v>
      </c>
      <c r="AG51" s="1">
        <v>25</v>
      </c>
      <c r="AH51" s="1">
        <v>18</v>
      </c>
      <c r="AI51" s="34">
        <v>0</v>
      </c>
      <c r="AJ51" s="51">
        <v>131.3</v>
      </c>
      <c r="AK51" s="1">
        <v>10640</v>
      </c>
      <c r="AL51" s="52">
        <v>967.4</v>
      </c>
      <c r="AM51" s="41">
        <v>1135</v>
      </c>
      <c r="AN51" s="1">
        <v>9</v>
      </c>
      <c r="AO51" s="1">
        <v>3651</v>
      </c>
      <c r="AP51" s="1">
        <v>354.5</v>
      </c>
      <c r="AQ51" s="1">
        <v>543.2</v>
      </c>
      <c r="AR51" s="1">
        <v>5.27</v>
      </c>
      <c r="AS51" s="1">
        <v>259.4</v>
      </c>
      <c r="AT51" s="11">
        <v>346300</v>
      </c>
    </row>
    <row r="52" spans="2:46" ht="15.75" thickBot="1">
      <c r="B52" s="308" t="s">
        <v>358</v>
      </c>
      <c r="C52" s="309"/>
      <c r="D52" s="309"/>
      <c r="E52" s="309"/>
      <c r="F52" s="309"/>
      <c r="G52" s="310"/>
      <c r="AB52" s="10" t="s">
        <v>78</v>
      </c>
      <c r="AC52" s="1">
        <v>117</v>
      </c>
      <c r="AD52" s="1">
        <v>240</v>
      </c>
      <c r="AE52" s="1">
        <v>226</v>
      </c>
      <c r="AF52" s="1">
        <v>15.5</v>
      </c>
      <c r="AG52" s="1">
        <v>26</v>
      </c>
      <c r="AH52" s="1">
        <v>18</v>
      </c>
      <c r="AI52" s="34">
        <v>0</v>
      </c>
      <c r="AJ52" s="51">
        <v>149.4</v>
      </c>
      <c r="AK52" s="1">
        <v>14600</v>
      </c>
      <c r="AL52" s="52">
        <v>1217</v>
      </c>
      <c r="AM52" s="41">
        <v>1419</v>
      </c>
      <c r="AN52" s="1">
        <v>9.89</v>
      </c>
      <c r="AO52" s="1">
        <v>5012</v>
      </c>
      <c r="AP52" s="1">
        <v>443.5</v>
      </c>
      <c r="AQ52" s="1">
        <v>678.6</v>
      </c>
      <c r="AR52" s="1">
        <v>5.79</v>
      </c>
      <c r="AS52" s="1">
        <v>315.3</v>
      </c>
      <c r="AT52" s="11">
        <v>572700</v>
      </c>
    </row>
    <row r="53" spans="28:46" ht="15">
      <c r="AB53" s="10" t="s">
        <v>79</v>
      </c>
      <c r="AC53" s="1">
        <v>157</v>
      </c>
      <c r="AD53" s="1">
        <v>270</v>
      </c>
      <c r="AE53" s="1">
        <v>248</v>
      </c>
      <c r="AF53" s="1">
        <v>18</v>
      </c>
      <c r="AG53" s="1">
        <v>32</v>
      </c>
      <c r="AH53" s="1">
        <v>21</v>
      </c>
      <c r="AI53" s="34">
        <v>0</v>
      </c>
      <c r="AJ53" s="51">
        <v>199.6</v>
      </c>
      <c r="AK53" s="1">
        <v>24290</v>
      </c>
      <c r="AL53" s="52">
        <v>1799</v>
      </c>
      <c r="AM53" s="41">
        <v>2117</v>
      </c>
      <c r="AN53" s="1">
        <v>11.03</v>
      </c>
      <c r="AO53" s="1">
        <v>8153</v>
      </c>
      <c r="AP53" s="1">
        <v>657.5</v>
      </c>
      <c r="AQ53" s="1">
        <v>1006</v>
      </c>
      <c r="AR53" s="1">
        <v>6.39</v>
      </c>
      <c r="AS53" s="1">
        <v>627.9</v>
      </c>
      <c r="AT53" s="11">
        <v>1152000</v>
      </c>
    </row>
    <row r="54" spans="28:46" ht="15">
      <c r="AB54" s="10" t="s">
        <v>80</v>
      </c>
      <c r="AC54" s="1">
        <v>172</v>
      </c>
      <c r="AD54" s="1">
        <v>290</v>
      </c>
      <c r="AE54" s="1">
        <v>268</v>
      </c>
      <c r="AF54" s="1">
        <v>18</v>
      </c>
      <c r="AG54" s="1">
        <v>32.5</v>
      </c>
      <c r="AH54" s="1">
        <v>24</v>
      </c>
      <c r="AI54" s="34">
        <v>0</v>
      </c>
      <c r="AJ54" s="51">
        <v>219.6</v>
      </c>
      <c r="AK54" s="1">
        <v>31310</v>
      </c>
      <c r="AL54" s="52">
        <v>2159</v>
      </c>
      <c r="AM54" s="41">
        <v>2524</v>
      </c>
      <c r="AN54" s="1">
        <v>11.94</v>
      </c>
      <c r="AO54" s="1">
        <v>10450</v>
      </c>
      <c r="AP54" s="1">
        <v>779.7</v>
      </c>
      <c r="AQ54" s="1">
        <v>1192</v>
      </c>
      <c r="AR54" s="1">
        <v>6.9</v>
      </c>
      <c r="AS54" s="1">
        <v>719</v>
      </c>
      <c r="AT54" s="11">
        <v>1728000</v>
      </c>
    </row>
    <row r="55" spans="28:46" ht="15">
      <c r="AB55" s="10" t="s">
        <v>81</v>
      </c>
      <c r="AC55" s="1">
        <v>189</v>
      </c>
      <c r="AD55" s="1">
        <v>310</v>
      </c>
      <c r="AE55" s="1">
        <v>288</v>
      </c>
      <c r="AF55" s="1">
        <v>18.5</v>
      </c>
      <c r="AG55" s="1">
        <v>33</v>
      </c>
      <c r="AH55" s="1">
        <v>24</v>
      </c>
      <c r="AI55" s="34">
        <v>0</v>
      </c>
      <c r="AJ55" s="51">
        <v>240.2</v>
      </c>
      <c r="AK55" s="1">
        <v>39550</v>
      </c>
      <c r="AL55" s="52">
        <v>2551</v>
      </c>
      <c r="AM55" s="41">
        <v>2966</v>
      </c>
      <c r="AN55" s="1">
        <v>12.83</v>
      </c>
      <c r="AO55" s="1">
        <v>13160</v>
      </c>
      <c r="AP55" s="1">
        <v>914.1</v>
      </c>
      <c r="AQ55" s="1">
        <v>1397</v>
      </c>
      <c r="AR55" s="1">
        <v>7.4</v>
      </c>
      <c r="AS55" s="1">
        <v>807.3</v>
      </c>
      <c r="AT55" s="11">
        <v>2520000</v>
      </c>
    </row>
    <row r="56" spans="28:46" ht="15">
      <c r="AB56" s="10" t="s">
        <v>82</v>
      </c>
      <c r="AC56" s="1">
        <v>238</v>
      </c>
      <c r="AD56" s="1">
        <v>340</v>
      </c>
      <c r="AE56" s="1">
        <v>310</v>
      </c>
      <c r="AF56" s="1">
        <v>21</v>
      </c>
      <c r="AG56" s="1">
        <v>39</v>
      </c>
      <c r="AH56" s="1">
        <v>27</v>
      </c>
      <c r="AI56" s="34">
        <v>0</v>
      </c>
      <c r="AJ56" s="51">
        <v>303.1</v>
      </c>
      <c r="AK56" s="1">
        <v>59200</v>
      </c>
      <c r="AL56" s="52">
        <v>3482</v>
      </c>
      <c r="AM56" s="41">
        <v>4078</v>
      </c>
      <c r="AN56" s="1">
        <v>13.98</v>
      </c>
      <c r="AO56" s="1">
        <v>19400</v>
      </c>
      <c r="AP56" s="1">
        <v>1252</v>
      </c>
      <c r="AQ56" s="1">
        <v>1913</v>
      </c>
      <c r="AR56" s="1">
        <v>8</v>
      </c>
      <c r="AS56" s="1">
        <v>1408</v>
      </c>
      <c r="AT56" s="11">
        <v>4386000</v>
      </c>
    </row>
    <row r="57" spans="28:46" ht="15">
      <c r="AB57" s="10" t="s">
        <v>83</v>
      </c>
      <c r="AC57" s="1">
        <v>245</v>
      </c>
      <c r="AD57" s="1">
        <v>359</v>
      </c>
      <c r="AE57" s="1">
        <v>309</v>
      </c>
      <c r="AF57" s="1">
        <v>21</v>
      </c>
      <c r="AG57" s="1">
        <v>40</v>
      </c>
      <c r="AH57" s="1">
        <v>27</v>
      </c>
      <c r="AI57" s="34">
        <v>0</v>
      </c>
      <c r="AJ57" s="51">
        <v>312</v>
      </c>
      <c r="AK57" s="1">
        <v>68130</v>
      </c>
      <c r="AL57" s="52">
        <v>3796</v>
      </c>
      <c r="AM57" s="41">
        <v>4435</v>
      </c>
      <c r="AN57" s="1">
        <v>14.78</v>
      </c>
      <c r="AO57" s="1">
        <v>19710</v>
      </c>
      <c r="AP57" s="1">
        <v>1276</v>
      </c>
      <c r="AQ57" s="1">
        <v>1951</v>
      </c>
      <c r="AR57" s="1">
        <v>7.95</v>
      </c>
      <c r="AS57" s="1">
        <v>1501</v>
      </c>
      <c r="AT57" s="11">
        <v>5004000</v>
      </c>
    </row>
    <row r="58" spans="28:46" ht="15">
      <c r="AB58" s="10" t="s">
        <v>84</v>
      </c>
      <c r="AC58" s="1">
        <v>248</v>
      </c>
      <c r="AD58" s="1">
        <v>377</v>
      </c>
      <c r="AE58" s="1">
        <v>309</v>
      </c>
      <c r="AF58" s="1">
        <v>21</v>
      </c>
      <c r="AG58" s="1">
        <v>40</v>
      </c>
      <c r="AH58" s="1">
        <v>27</v>
      </c>
      <c r="AI58" s="34">
        <v>0</v>
      </c>
      <c r="AJ58" s="51">
        <v>315.8</v>
      </c>
      <c r="AK58" s="1">
        <v>76370</v>
      </c>
      <c r="AL58" s="52">
        <v>4052</v>
      </c>
      <c r="AM58" s="41">
        <v>4718</v>
      </c>
      <c r="AN58" s="1">
        <v>15.55</v>
      </c>
      <c r="AO58" s="1">
        <v>19710</v>
      </c>
      <c r="AP58" s="1">
        <v>1276</v>
      </c>
      <c r="AQ58" s="1">
        <v>1953</v>
      </c>
      <c r="AR58" s="1">
        <v>7.9</v>
      </c>
      <c r="AS58" s="1">
        <v>1506</v>
      </c>
      <c r="AT58" s="11">
        <v>5584000</v>
      </c>
    </row>
    <row r="59" spans="28:46" ht="15">
      <c r="AB59" s="10" t="s">
        <v>85</v>
      </c>
      <c r="AC59" s="1">
        <v>250</v>
      </c>
      <c r="AD59" s="1">
        <v>395</v>
      </c>
      <c r="AE59" s="1">
        <v>308</v>
      </c>
      <c r="AF59" s="1">
        <v>21</v>
      </c>
      <c r="AG59" s="1">
        <v>40</v>
      </c>
      <c r="AH59" s="1">
        <v>27</v>
      </c>
      <c r="AI59" s="34">
        <v>0</v>
      </c>
      <c r="AJ59" s="51">
        <v>318.8</v>
      </c>
      <c r="AK59" s="1">
        <v>84870</v>
      </c>
      <c r="AL59" s="52">
        <v>4297</v>
      </c>
      <c r="AM59" s="41">
        <v>4989</v>
      </c>
      <c r="AN59" s="1">
        <v>16.32</v>
      </c>
      <c r="AO59" s="1">
        <v>19520</v>
      </c>
      <c r="AP59" s="1">
        <v>1268</v>
      </c>
      <c r="AQ59" s="1">
        <v>1942</v>
      </c>
      <c r="AR59" s="1">
        <v>7.83</v>
      </c>
      <c r="AS59" s="1">
        <v>1507</v>
      </c>
      <c r="AT59" s="11">
        <v>6137000</v>
      </c>
    </row>
    <row r="60" spans="28:46" ht="15">
      <c r="AB60" s="10" t="s">
        <v>86</v>
      </c>
      <c r="AC60" s="1">
        <v>256</v>
      </c>
      <c r="AD60" s="1">
        <v>432</v>
      </c>
      <c r="AE60" s="1">
        <v>307</v>
      </c>
      <c r="AF60" s="1">
        <v>21</v>
      </c>
      <c r="AG60" s="1">
        <v>40</v>
      </c>
      <c r="AH60" s="1">
        <v>27</v>
      </c>
      <c r="AI60" s="34">
        <v>0</v>
      </c>
      <c r="AJ60" s="51">
        <v>325.8</v>
      </c>
      <c r="AK60" s="1">
        <v>104100</v>
      </c>
      <c r="AL60" s="52">
        <v>4820</v>
      </c>
      <c r="AM60" s="41">
        <v>5571</v>
      </c>
      <c r="AN60" s="1">
        <v>17.88</v>
      </c>
      <c r="AO60" s="1">
        <v>19340</v>
      </c>
      <c r="AP60" s="1">
        <v>1260</v>
      </c>
      <c r="AQ60" s="1">
        <v>1934</v>
      </c>
      <c r="AR60" s="1">
        <v>7.7</v>
      </c>
      <c r="AS60" s="1">
        <v>1515</v>
      </c>
      <c r="AT60" s="11">
        <v>7410000</v>
      </c>
    </row>
    <row r="61" spans="28:46" ht="15">
      <c r="AB61" s="10" t="s">
        <v>87</v>
      </c>
      <c r="AC61" s="1">
        <v>263</v>
      </c>
      <c r="AD61" s="1">
        <v>478</v>
      </c>
      <c r="AE61" s="1">
        <v>307</v>
      </c>
      <c r="AF61" s="1">
        <v>21</v>
      </c>
      <c r="AG61" s="1">
        <v>40</v>
      </c>
      <c r="AH61" s="1">
        <v>27</v>
      </c>
      <c r="AI61" s="34">
        <v>0</v>
      </c>
      <c r="AJ61" s="51">
        <v>335.4</v>
      </c>
      <c r="AK61" s="1">
        <v>131500</v>
      </c>
      <c r="AL61" s="52">
        <v>5501</v>
      </c>
      <c r="AM61" s="41">
        <v>6331</v>
      </c>
      <c r="AN61" s="1">
        <v>19.8</v>
      </c>
      <c r="AO61" s="1">
        <v>19340</v>
      </c>
      <c r="AP61" s="1">
        <v>1260</v>
      </c>
      <c r="AQ61" s="1">
        <v>1939</v>
      </c>
      <c r="AR61" s="1">
        <v>7.59</v>
      </c>
      <c r="AS61" s="1">
        <v>1529</v>
      </c>
      <c r="AT61" s="11">
        <v>9251000</v>
      </c>
    </row>
    <row r="62" spans="28:46" ht="15">
      <c r="AB62" s="10" t="s">
        <v>88</v>
      </c>
      <c r="AC62" s="1">
        <v>270</v>
      </c>
      <c r="AD62" s="1">
        <v>524</v>
      </c>
      <c r="AE62" s="1">
        <v>306</v>
      </c>
      <c r="AF62" s="1">
        <v>21</v>
      </c>
      <c r="AG62" s="1">
        <v>40</v>
      </c>
      <c r="AH62" s="1">
        <v>27</v>
      </c>
      <c r="AI62" s="34">
        <v>0</v>
      </c>
      <c r="AJ62" s="51">
        <v>344.3</v>
      </c>
      <c r="AK62" s="1">
        <v>161900</v>
      </c>
      <c r="AL62" s="52">
        <v>6180</v>
      </c>
      <c r="AM62" s="41">
        <v>7094</v>
      </c>
      <c r="AN62" s="1">
        <v>21.69</v>
      </c>
      <c r="AO62" s="1">
        <v>19150</v>
      </c>
      <c r="AP62" s="1">
        <v>1252</v>
      </c>
      <c r="AQ62" s="1">
        <v>1932</v>
      </c>
      <c r="AR62" s="1">
        <v>7.46</v>
      </c>
      <c r="AS62" s="1">
        <v>1539</v>
      </c>
      <c r="AT62" s="11">
        <v>11190000</v>
      </c>
    </row>
    <row r="63" spans="28:46" ht="15">
      <c r="AB63" s="10" t="s">
        <v>89</v>
      </c>
      <c r="AC63" s="1">
        <v>278</v>
      </c>
      <c r="AD63" s="1">
        <v>572</v>
      </c>
      <c r="AE63" s="1">
        <v>306</v>
      </c>
      <c r="AF63" s="1">
        <v>21</v>
      </c>
      <c r="AG63" s="1">
        <v>40</v>
      </c>
      <c r="AH63" s="1">
        <v>27</v>
      </c>
      <c r="AI63" s="34">
        <v>0</v>
      </c>
      <c r="AJ63" s="51">
        <v>354.4</v>
      </c>
      <c r="AK63" s="1">
        <v>198000</v>
      </c>
      <c r="AL63" s="52">
        <v>6923</v>
      </c>
      <c r="AM63" s="41">
        <v>7933</v>
      </c>
      <c r="AN63" s="1">
        <v>23.64</v>
      </c>
      <c r="AO63" s="1">
        <v>19160</v>
      </c>
      <c r="AP63" s="1">
        <v>1252</v>
      </c>
      <c r="AQ63" s="1">
        <v>1937</v>
      </c>
      <c r="AR63" s="1">
        <v>7.35</v>
      </c>
      <c r="AS63" s="1">
        <v>1554</v>
      </c>
      <c r="AT63" s="11">
        <v>13520000</v>
      </c>
    </row>
    <row r="64" spans="28:46" ht="15">
      <c r="AB64" s="10" t="s">
        <v>90</v>
      </c>
      <c r="AC64" s="1">
        <v>285</v>
      </c>
      <c r="AD64" s="1">
        <v>620</v>
      </c>
      <c r="AE64" s="1">
        <v>305</v>
      </c>
      <c r="AF64" s="1">
        <v>21</v>
      </c>
      <c r="AG64" s="1">
        <v>40</v>
      </c>
      <c r="AH64" s="1">
        <v>27</v>
      </c>
      <c r="AI64" s="34">
        <v>0</v>
      </c>
      <c r="AJ64" s="51">
        <v>363.7</v>
      </c>
      <c r="AK64" s="1">
        <v>237400</v>
      </c>
      <c r="AL64" s="52">
        <v>7660</v>
      </c>
      <c r="AM64" s="41">
        <v>8772</v>
      </c>
      <c r="AN64" s="1">
        <v>25.55</v>
      </c>
      <c r="AO64" s="1">
        <v>18980</v>
      </c>
      <c r="AP64" s="1">
        <v>1244</v>
      </c>
      <c r="AQ64" s="1">
        <v>1930</v>
      </c>
      <c r="AR64" s="1">
        <v>7.22</v>
      </c>
      <c r="AS64" s="1">
        <v>1564</v>
      </c>
      <c r="AT64" s="11">
        <v>15910000</v>
      </c>
    </row>
    <row r="65" spans="28:46" ht="15">
      <c r="AB65" s="10" t="s">
        <v>91</v>
      </c>
      <c r="AC65" s="1">
        <v>293</v>
      </c>
      <c r="AD65" s="1">
        <v>668</v>
      </c>
      <c r="AE65" s="1">
        <v>305</v>
      </c>
      <c r="AF65" s="1">
        <v>21</v>
      </c>
      <c r="AG65" s="1">
        <v>40</v>
      </c>
      <c r="AH65" s="1">
        <v>27</v>
      </c>
      <c r="AI65" s="34">
        <v>0</v>
      </c>
      <c r="AJ65" s="51">
        <v>373.7</v>
      </c>
      <c r="AK65" s="1">
        <v>281700</v>
      </c>
      <c r="AL65" s="52">
        <v>8433</v>
      </c>
      <c r="AM65" s="41">
        <v>9657</v>
      </c>
      <c r="AN65" s="1">
        <v>27.45</v>
      </c>
      <c r="AO65" s="1">
        <v>18980</v>
      </c>
      <c r="AP65" s="1">
        <v>1245</v>
      </c>
      <c r="AQ65" s="1">
        <v>1936</v>
      </c>
      <c r="AR65" s="1">
        <v>7.13</v>
      </c>
      <c r="AS65" s="1">
        <v>1579</v>
      </c>
      <c r="AT65" s="11">
        <v>18650000</v>
      </c>
    </row>
    <row r="66" spans="28:46" ht="15">
      <c r="AB66" s="10" t="s">
        <v>92</v>
      </c>
      <c r="AC66" s="1">
        <v>301</v>
      </c>
      <c r="AD66" s="1">
        <v>716</v>
      </c>
      <c r="AE66" s="1">
        <v>304</v>
      </c>
      <c r="AF66" s="1">
        <v>21</v>
      </c>
      <c r="AG66" s="1">
        <v>40</v>
      </c>
      <c r="AH66" s="1">
        <v>27</v>
      </c>
      <c r="AI66" s="34">
        <v>0</v>
      </c>
      <c r="AJ66" s="51">
        <v>383</v>
      </c>
      <c r="AK66" s="1">
        <v>329300</v>
      </c>
      <c r="AL66" s="52">
        <v>9198</v>
      </c>
      <c r="AM66" s="41">
        <v>10540</v>
      </c>
      <c r="AN66" s="1">
        <v>29.32</v>
      </c>
      <c r="AO66" s="1">
        <v>18800</v>
      </c>
      <c r="AP66" s="1">
        <v>1237</v>
      </c>
      <c r="AQ66" s="1">
        <v>1929</v>
      </c>
      <c r="AR66" s="1">
        <v>7.01</v>
      </c>
      <c r="AS66" s="1">
        <v>1589</v>
      </c>
      <c r="AT66" s="11">
        <v>21400000</v>
      </c>
    </row>
    <row r="67" spans="28:46" ht="15">
      <c r="AB67" s="10" t="s">
        <v>93</v>
      </c>
      <c r="AC67" s="1">
        <v>317</v>
      </c>
      <c r="AD67" s="1">
        <v>814</v>
      </c>
      <c r="AE67" s="1">
        <v>303</v>
      </c>
      <c r="AF67" s="1">
        <v>21</v>
      </c>
      <c r="AG67" s="1">
        <v>40</v>
      </c>
      <c r="AH67" s="1">
        <v>30</v>
      </c>
      <c r="AI67" s="34">
        <v>0</v>
      </c>
      <c r="AJ67" s="51">
        <v>404.3</v>
      </c>
      <c r="AK67" s="1">
        <v>442600</v>
      </c>
      <c r="AL67" s="52">
        <v>10870</v>
      </c>
      <c r="AM67" s="41">
        <v>12490</v>
      </c>
      <c r="AN67" s="1">
        <v>33.09</v>
      </c>
      <c r="AO67" s="1">
        <v>18630</v>
      </c>
      <c r="AP67" s="1">
        <v>1230</v>
      </c>
      <c r="AQ67" s="1">
        <v>1930</v>
      </c>
      <c r="AR67" s="1">
        <v>6.79</v>
      </c>
      <c r="AS67" s="1">
        <v>1646</v>
      </c>
      <c r="AT67" s="11">
        <v>27780000</v>
      </c>
    </row>
    <row r="68" spans="28:46" ht="15">
      <c r="AB68" s="10" t="s">
        <v>94</v>
      </c>
      <c r="AC68" s="1">
        <v>333</v>
      </c>
      <c r="AD68" s="1">
        <v>910</v>
      </c>
      <c r="AE68" s="1">
        <v>302</v>
      </c>
      <c r="AF68" s="1">
        <v>21</v>
      </c>
      <c r="AG68" s="1">
        <v>40</v>
      </c>
      <c r="AH68" s="1">
        <v>30</v>
      </c>
      <c r="AI68" s="34">
        <v>0</v>
      </c>
      <c r="AJ68" s="51">
        <v>423.6</v>
      </c>
      <c r="AK68" s="1">
        <v>570400</v>
      </c>
      <c r="AL68" s="52">
        <v>12540</v>
      </c>
      <c r="AM68" s="41">
        <v>14440</v>
      </c>
      <c r="AN68" s="1">
        <v>36.7</v>
      </c>
      <c r="AO68" s="1">
        <v>18450</v>
      </c>
      <c r="AP68" s="1">
        <v>1222</v>
      </c>
      <c r="AQ68" s="1">
        <v>1929</v>
      </c>
      <c r="AR68" s="1">
        <v>6.6</v>
      </c>
      <c r="AS68" s="1">
        <v>1671</v>
      </c>
      <c r="AT68" s="11">
        <v>34750000</v>
      </c>
    </row>
    <row r="69" spans="28:46" ht="15.75" thickBot="1">
      <c r="AB69" s="21" t="s">
        <v>75</v>
      </c>
      <c r="AC69" s="22">
        <v>349</v>
      </c>
      <c r="AD69" s="22">
        <v>1008</v>
      </c>
      <c r="AE69" s="22">
        <v>302</v>
      </c>
      <c r="AF69" s="22">
        <v>21</v>
      </c>
      <c r="AG69" s="22">
        <v>40</v>
      </c>
      <c r="AH69" s="22">
        <v>30</v>
      </c>
      <c r="AI69" s="35">
        <v>0</v>
      </c>
      <c r="AJ69" s="53">
        <v>444.2</v>
      </c>
      <c r="AK69" s="22">
        <v>722300</v>
      </c>
      <c r="AL69" s="54">
        <v>14330</v>
      </c>
      <c r="AM69" s="42">
        <v>16570</v>
      </c>
      <c r="AN69" s="22">
        <v>40.32</v>
      </c>
      <c r="AO69" s="22">
        <v>18460</v>
      </c>
      <c r="AP69" s="22">
        <v>1222</v>
      </c>
      <c r="AQ69" s="22">
        <v>1940</v>
      </c>
      <c r="AR69" s="22">
        <v>6.45</v>
      </c>
      <c r="AS69" s="22">
        <v>1701</v>
      </c>
      <c r="AT69" s="23">
        <v>43020000</v>
      </c>
    </row>
    <row r="70" spans="28:46" ht="15">
      <c r="AB70" s="18" t="s">
        <v>111</v>
      </c>
      <c r="AC70" s="24">
        <v>6</v>
      </c>
      <c r="AD70" s="19">
        <v>80</v>
      </c>
      <c r="AE70" s="19">
        <v>46</v>
      </c>
      <c r="AF70" s="24">
        <v>3.8</v>
      </c>
      <c r="AG70" s="24">
        <v>5.2</v>
      </c>
      <c r="AH70" s="24">
        <v>5</v>
      </c>
      <c r="AI70" s="36">
        <v>0</v>
      </c>
      <c r="AJ70" s="55">
        <v>7.64</v>
      </c>
      <c r="AK70" s="24">
        <v>80.14</v>
      </c>
      <c r="AL70" s="56">
        <v>20.03</v>
      </c>
      <c r="AM70" s="43">
        <v>23.22</v>
      </c>
      <c r="AN70" s="24">
        <v>3.24</v>
      </c>
      <c r="AO70" s="24">
        <v>8.49</v>
      </c>
      <c r="AP70" s="24">
        <v>3.69</v>
      </c>
      <c r="AQ70" s="24">
        <v>5.82</v>
      </c>
      <c r="AR70" s="24">
        <v>1.05</v>
      </c>
      <c r="AS70" s="24">
        <v>0.7</v>
      </c>
      <c r="AT70" s="25">
        <v>120</v>
      </c>
    </row>
    <row r="71" spans="28:46" ht="15">
      <c r="AB71" s="10" t="s">
        <v>95</v>
      </c>
      <c r="AC71" s="2">
        <v>8.1</v>
      </c>
      <c r="AD71" s="1">
        <v>100</v>
      </c>
      <c r="AE71" s="1">
        <v>55</v>
      </c>
      <c r="AF71" s="2">
        <v>4.1</v>
      </c>
      <c r="AG71" s="2">
        <v>5.7</v>
      </c>
      <c r="AH71" s="2">
        <v>7</v>
      </c>
      <c r="AI71" s="37">
        <v>0</v>
      </c>
      <c r="AJ71" s="57">
        <v>10.32</v>
      </c>
      <c r="AK71" s="2">
        <v>171</v>
      </c>
      <c r="AL71" s="58">
        <v>34.2</v>
      </c>
      <c r="AM71" s="44">
        <v>39.41</v>
      </c>
      <c r="AN71" s="2">
        <v>4.07</v>
      </c>
      <c r="AO71" s="2">
        <v>15.92</v>
      </c>
      <c r="AP71" s="2">
        <v>5.79</v>
      </c>
      <c r="AQ71" s="2">
        <v>9.15</v>
      </c>
      <c r="AR71" s="2">
        <v>1.24</v>
      </c>
      <c r="AS71" s="2">
        <v>1.2</v>
      </c>
      <c r="AT71" s="12">
        <v>350</v>
      </c>
    </row>
    <row r="72" spans="28:46" ht="15">
      <c r="AB72" s="10" t="s">
        <v>96</v>
      </c>
      <c r="AC72" s="2">
        <v>10.4</v>
      </c>
      <c r="AD72" s="1">
        <v>120</v>
      </c>
      <c r="AE72" s="1">
        <v>64</v>
      </c>
      <c r="AF72" s="2">
        <v>4.4</v>
      </c>
      <c r="AG72" s="2">
        <v>6.3</v>
      </c>
      <c r="AH72" s="2">
        <v>7</v>
      </c>
      <c r="AI72" s="37">
        <v>0</v>
      </c>
      <c r="AJ72" s="57">
        <v>13.21</v>
      </c>
      <c r="AK72" s="2">
        <v>317.8</v>
      </c>
      <c r="AL72" s="58">
        <v>52.96</v>
      </c>
      <c r="AM72" s="44">
        <v>60.73</v>
      </c>
      <c r="AN72" s="2">
        <v>4.9</v>
      </c>
      <c r="AO72" s="2">
        <v>27.67</v>
      </c>
      <c r="AP72" s="2">
        <v>8.65</v>
      </c>
      <c r="AQ72" s="2">
        <v>13.58</v>
      </c>
      <c r="AR72" s="2">
        <v>1.45</v>
      </c>
      <c r="AS72" s="2">
        <v>1.74</v>
      </c>
      <c r="AT72" s="12">
        <v>890</v>
      </c>
    </row>
    <row r="73" spans="28:46" ht="15">
      <c r="AB73" s="10" t="s">
        <v>97</v>
      </c>
      <c r="AC73" s="2">
        <v>12.9</v>
      </c>
      <c r="AD73" s="1">
        <v>140</v>
      </c>
      <c r="AE73" s="1">
        <v>73</v>
      </c>
      <c r="AF73" s="2">
        <v>4.7</v>
      </c>
      <c r="AG73" s="2">
        <v>6.9</v>
      </c>
      <c r="AH73" s="2">
        <v>7</v>
      </c>
      <c r="AI73" s="37">
        <v>0</v>
      </c>
      <c r="AJ73" s="57">
        <v>16.43</v>
      </c>
      <c r="AK73" s="2">
        <v>541.2</v>
      </c>
      <c r="AL73" s="58">
        <v>77.32</v>
      </c>
      <c r="AM73" s="44">
        <v>88.34</v>
      </c>
      <c r="AN73" s="2">
        <v>5.74</v>
      </c>
      <c r="AO73" s="2">
        <v>44.92</v>
      </c>
      <c r="AP73" s="2">
        <v>12.31</v>
      </c>
      <c r="AQ73" s="2">
        <v>19.25</v>
      </c>
      <c r="AR73" s="2">
        <v>1.65</v>
      </c>
      <c r="AS73" s="2">
        <v>2.45</v>
      </c>
      <c r="AT73" s="12">
        <v>1980</v>
      </c>
    </row>
    <row r="74" spans="28:46" ht="15">
      <c r="AB74" s="10" t="s">
        <v>0</v>
      </c>
      <c r="AC74" s="2">
        <v>15.8</v>
      </c>
      <c r="AD74" s="1">
        <v>160</v>
      </c>
      <c r="AE74" s="1">
        <v>82</v>
      </c>
      <c r="AF74" s="2">
        <v>5</v>
      </c>
      <c r="AG74" s="2">
        <v>7.4</v>
      </c>
      <c r="AH74" s="2">
        <v>9</v>
      </c>
      <c r="AI74" s="37">
        <v>0</v>
      </c>
      <c r="AJ74" s="57">
        <v>20.09</v>
      </c>
      <c r="AK74" s="2">
        <v>869.3</v>
      </c>
      <c r="AL74" s="58">
        <v>108.7</v>
      </c>
      <c r="AM74" s="44">
        <v>123.9</v>
      </c>
      <c r="AN74" s="2">
        <v>6.58</v>
      </c>
      <c r="AO74" s="2">
        <v>68.31</v>
      </c>
      <c r="AP74" s="2">
        <v>16.66</v>
      </c>
      <c r="AQ74" s="2">
        <v>26.1</v>
      </c>
      <c r="AR74" s="2">
        <v>1.84</v>
      </c>
      <c r="AS74" s="2">
        <v>3.6</v>
      </c>
      <c r="AT74" s="12">
        <v>3960</v>
      </c>
    </row>
    <row r="75" spans="28:46" ht="15">
      <c r="AB75" s="10" t="s">
        <v>98</v>
      </c>
      <c r="AC75" s="2">
        <v>18.8</v>
      </c>
      <c r="AD75" s="1">
        <v>180</v>
      </c>
      <c r="AE75" s="1">
        <v>91</v>
      </c>
      <c r="AF75" s="2">
        <v>5.3</v>
      </c>
      <c r="AG75" s="2">
        <v>8</v>
      </c>
      <c r="AH75" s="2">
        <v>9</v>
      </c>
      <c r="AI75" s="37">
        <v>0</v>
      </c>
      <c r="AJ75" s="57">
        <v>23.95</v>
      </c>
      <c r="AK75" s="2">
        <v>1317</v>
      </c>
      <c r="AL75" s="58">
        <v>146.3</v>
      </c>
      <c r="AM75" s="44">
        <v>166.4</v>
      </c>
      <c r="AN75" s="2">
        <v>7.42</v>
      </c>
      <c r="AO75" s="2">
        <v>100.9</v>
      </c>
      <c r="AP75" s="2">
        <v>22.16</v>
      </c>
      <c r="AQ75" s="2">
        <v>34.6</v>
      </c>
      <c r="AR75" s="2">
        <v>2.05</v>
      </c>
      <c r="AS75" s="2">
        <v>4.79</v>
      </c>
      <c r="AT75" s="12">
        <v>7430</v>
      </c>
    </row>
    <row r="76" spans="28:46" ht="15">
      <c r="AB76" s="10" t="s">
        <v>99</v>
      </c>
      <c r="AC76" s="2">
        <v>22.4</v>
      </c>
      <c r="AD76" s="1">
        <v>200</v>
      </c>
      <c r="AE76" s="1">
        <v>100</v>
      </c>
      <c r="AF76" s="2">
        <v>5.6</v>
      </c>
      <c r="AG76" s="2">
        <v>8.5</v>
      </c>
      <c r="AH76" s="2">
        <v>12</v>
      </c>
      <c r="AI76" s="37">
        <v>0</v>
      </c>
      <c r="AJ76" s="57">
        <v>28.48</v>
      </c>
      <c r="AK76" s="2">
        <v>1943</v>
      </c>
      <c r="AL76" s="58">
        <v>194.3</v>
      </c>
      <c r="AM76" s="44">
        <v>220.6</v>
      </c>
      <c r="AN76" s="2">
        <v>8.26</v>
      </c>
      <c r="AO76" s="2">
        <v>142.4</v>
      </c>
      <c r="AP76" s="2">
        <v>28.47</v>
      </c>
      <c r="AQ76" s="2">
        <v>44.61</v>
      </c>
      <c r="AR76" s="2">
        <v>2.24</v>
      </c>
      <c r="AS76" s="2">
        <v>6.98</v>
      </c>
      <c r="AT76" s="12">
        <v>12990</v>
      </c>
    </row>
    <row r="77" spans="28:46" ht="15">
      <c r="AB77" s="10" t="s">
        <v>100</v>
      </c>
      <c r="AC77" s="2">
        <v>26.2</v>
      </c>
      <c r="AD77" s="1">
        <v>220</v>
      </c>
      <c r="AE77" s="1">
        <v>110</v>
      </c>
      <c r="AF77" s="2">
        <v>5.9</v>
      </c>
      <c r="AG77" s="2">
        <v>9.2</v>
      </c>
      <c r="AH77" s="2">
        <v>12</v>
      </c>
      <c r="AI77" s="37">
        <v>0</v>
      </c>
      <c r="AJ77" s="57">
        <v>33.37</v>
      </c>
      <c r="AK77" s="2">
        <v>2772</v>
      </c>
      <c r="AL77" s="58">
        <v>252</v>
      </c>
      <c r="AM77" s="44">
        <v>285.4</v>
      </c>
      <c r="AN77" s="2">
        <v>9.11</v>
      </c>
      <c r="AO77" s="2">
        <v>204.9</v>
      </c>
      <c r="AP77" s="2">
        <v>37.25</v>
      </c>
      <c r="AQ77" s="2">
        <v>58.11</v>
      </c>
      <c r="AR77" s="2">
        <v>2.48</v>
      </c>
      <c r="AS77" s="2">
        <v>9.07</v>
      </c>
      <c r="AT77" s="12">
        <v>22670</v>
      </c>
    </row>
    <row r="78" spans="28:46" ht="15">
      <c r="AB78" s="10" t="s">
        <v>101</v>
      </c>
      <c r="AC78" s="2">
        <v>30.7</v>
      </c>
      <c r="AD78" s="1">
        <v>240</v>
      </c>
      <c r="AE78" s="1">
        <v>120</v>
      </c>
      <c r="AF78" s="2">
        <v>6.2</v>
      </c>
      <c r="AG78" s="2">
        <v>9.8</v>
      </c>
      <c r="AH78" s="2">
        <v>15</v>
      </c>
      <c r="AI78" s="37">
        <v>0</v>
      </c>
      <c r="AJ78" s="57">
        <v>39.12</v>
      </c>
      <c r="AK78" s="2">
        <v>3892</v>
      </c>
      <c r="AL78" s="58">
        <v>324.3</v>
      </c>
      <c r="AM78" s="44">
        <v>366.6</v>
      </c>
      <c r="AN78" s="2">
        <v>9.97</v>
      </c>
      <c r="AO78" s="2">
        <v>283.6</v>
      </c>
      <c r="AP78" s="2">
        <v>47.27</v>
      </c>
      <c r="AQ78" s="2">
        <v>73.92</v>
      </c>
      <c r="AR78" s="2">
        <v>2.69</v>
      </c>
      <c r="AS78" s="2">
        <v>12.88</v>
      </c>
      <c r="AT78" s="12">
        <v>37390</v>
      </c>
    </row>
    <row r="79" spans="28:46" ht="15">
      <c r="AB79" s="10" t="s">
        <v>102</v>
      </c>
      <c r="AC79" s="2">
        <v>36.1</v>
      </c>
      <c r="AD79" s="1">
        <v>270</v>
      </c>
      <c r="AE79" s="1">
        <v>135</v>
      </c>
      <c r="AF79" s="2">
        <v>6.6</v>
      </c>
      <c r="AG79" s="2">
        <v>10.2</v>
      </c>
      <c r="AH79" s="2">
        <v>15</v>
      </c>
      <c r="AI79" s="37">
        <v>0</v>
      </c>
      <c r="AJ79" s="57">
        <v>45.94</v>
      </c>
      <c r="AK79" s="2">
        <v>5790</v>
      </c>
      <c r="AL79" s="58">
        <v>428.9</v>
      </c>
      <c r="AM79" s="44">
        <v>484</v>
      </c>
      <c r="AN79" s="2">
        <v>11.23</v>
      </c>
      <c r="AO79" s="2">
        <v>419.9</v>
      </c>
      <c r="AP79" s="2">
        <v>62.2</v>
      </c>
      <c r="AQ79" s="2">
        <v>96.95</v>
      </c>
      <c r="AR79" s="2">
        <v>3.02</v>
      </c>
      <c r="AS79" s="2">
        <v>15.94</v>
      </c>
      <c r="AT79" s="12">
        <v>70580</v>
      </c>
    </row>
    <row r="80" spans="28:46" ht="15">
      <c r="AB80" s="10" t="s">
        <v>103</v>
      </c>
      <c r="AC80" s="2">
        <v>42.2</v>
      </c>
      <c r="AD80" s="1">
        <v>300</v>
      </c>
      <c r="AE80" s="1">
        <v>150</v>
      </c>
      <c r="AF80" s="2">
        <v>7.1</v>
      </c>
      <c r="AG80" s="2">
        <v>10.7</v>
      </c>
      <c r="AH80" s="2">
        <v>15</v>
      </c>
      <c r="AI80" s="37">
        <v>0</v>
      </c>
      <c r="AJ80" s="57">
        <v>53.81</v>
      </c>
      <c r="AK80" s="2">
        <v>8356</v>
      </c>
      <c r="AL80" s="58">
        <v>557.1</v>
      </c>
      <c r="AM80" s="44">
        <v>628.4</v>
      </c>
      <c r="AN80" s="2">
        <v>12.46</v>
      </c>
      <c r="AO80" s="2">
        <v>603.8</v>
      </c>
      <c r="AP80" s="2">
        <v>80.5</v>
      </c>
      <c r="AQ80" s="2">
        <v>125.2</v>
      </c>
      <c r="AR80" s="2">
        <v>3.35</v>
      </c>
      <c r="AS80" s="2">
        <v>20.12</v>
      </c>
      <c r="AT80" s="12">
        <v>125900</v>
      </c>
    </row>
    <row r="81" spans="28:46" ht="15">
      <c r="AB81" s="10" t="s">
        <v>104</v>
      </c>
      <c r="AC81" s="2">
        <v>49.1</v>
      </c>
      <c r="AD81" s="1">
        <v>330</v>
      </c>
      <c r="AE81" s="1">
        <v>160</v>
      </c>
      <c r="AF81" s="2">
        <v>7.5</v>
      </c>
      <c r="AG81" s="2">
        <v>11.5</v>
      </c>
      <c r="AH81" s="2">
        <v>18</v>
      </c>
      <c r="AI81" s="37">
        <v>0</v>
      </c>
      <c r="AJ81" s="57">
        <v>62.61</v>
      </c>
      <c r="AK81" s="2">
        <v>11770</v>
      </c>
      <c r="AL81" s="58">
        <v>713.1</v>
      </c>
      <c r="AM81" s="44">
        <v>804.3</v>
      </c>
      <c r="AN81" s="2">
        <v>13.71</v>
      </c>
      <c r="AO81" s="2">
        <v>788.1</v>
      </c>
      <c r="AP81" s="2">
        <v>98.52</v>
      </c>
      <c r="AQ81" s="2">
        <v>153.7</v>
      </c>
      <c r="AR81" s="2">
        <v>3.55</v>
      </c>
      <c r="AS81" s="2">
        <v>28.15</v>
      </c>
      <c r="AT81" s="12">
        <v>199100</v>
      </c>
    </row>
    <row r="82" spans="28:46" ht="15">
      <c r="AB82" s="10" t="s">
        <v>105</v>
      </c>
      <c r="AC82" s="2">
        <v>57.1</v>
      </c>
      <c r="AD82" s="1">
        <v>360</v>
      </c>
      <c r="AE82" s="1">
        <v>170</v>
      </c>
      <c r="AF82" s="2">
        <v>8</v>
      </c>
      <c r="AG82" s="2">
        <v>12.7</v>
      </c>
      <c r="AH82" s="2">
        <v>18</v>
      </c>
      <c r="AI82" s="37">
        <v>0</v>
      </c>
      <c r="AJ82" s="57">
        <v>72.73</v>
      </c>
      <c r="AK82" s="2">
        <v>16270</v>
      </c>
      <c r="AL82" s="58">
        <v>903.6</v>
      </c>
      <c r="AM82" s="44">
        <v>1019</v>
      </c>
      <c r="AN82" s="2">
        <v>14.95</v>
      </c>
      <c r="AO82" s="2">
        <v>1043</v>
      </c>
      <c r="AP82" s="2">
        <v>122.8</v>
      </c>
      <c r="AQ82" s="2">
        <v>191.1</v>
      </c>
      <c r="AR82" s="2">
        <v>3.79</v>
      </c>
      <c r="AS82" s="2">
        <v>37.32</v>
      </c>
      <c r="AT82" s="12">
        <v>313600</v>
      </c>
    </row>
    <row r="83" spans="28:46" ht="15">
      <c r="AB83" s="10" t="s">
        <v>106</v>
      </c>
      <c r="AC83" s="2">
        <v>66.3</v>
      </c>
      <c r="AD83" s="1">
        <v>400</v>
      </c>
      <c r="AE83" s="1">
        <v>180</v>
      </c>
      <c r="AF83" s="2">
        <v>8.6</v>
      </c>
      <c r="AG83" s="2">
        <v>13.5</v>
      </c>
      <c r="AH83" s="2">
        <v>21</v>
      </c>
      <c r="AI83" s="37">
        <v>0</v>
      </c>
      <c r="AJ83" s="57">
        <v>84.46</v>
      </c>
      <c r="AK83" s="2">
        <v>23130</v>
      </c>
      <c r="AL83" s="58">
        <v>1156</v>
      </c>
      <c r="AM83" s="44">
        <v>1307</v>
      </c>
      <c r="AN83" s="2">
        <v>16.55</v>
      </c>
      <c r="AO83" s="2">
        <v>1318</v>
      </c>
      <c r="AP83" s="2">
        <v>146.4</v>
      </c>
      <c r="AQ83" s="2">
        <v>229</v>
      </c>
      <c r="AR83" s="2">
        <v>3.95</v>
      </c>
      <c r="AS83" s="2">
        <v>51.08</v>
      </c>
      <c r="AT83" s="12">
        <v>490000</v>
      </c>
    </row>
    <row r="84" spans="28:46" ht="15">
      <c r="AB84" s="10" t="s">
        <v>107</v>
      </c>
      <c r="AC84" s="2">
        <v>77.6</v>
      </c>
      <c r="AD84" s="1">
        <v>450</v>
      </c>
      <c r="AE84" s="1">
        <v>190</v>
      </c>
      <c r="AF84" s="2">
        <v>9.4</v>
      </c>
      <c r="AG84" s="2">
        <v>14.6</v>
      </c>
      <c r="AH84" s="2">
        <v>21</v>
      </c>
      <c r="AI84" s="37">
        <v>0</v>
      </c>
      <c r="AJ84" s="57">
        <v>98.82</v>
      </c>
      <c r="AK84" s="2">
        <v>33740</v>
      </c>
      <c r="AL84" s="58">
        <v>1500</v>
      </c>
      <c r="AM84" s="44">
        <v>1702</v>
      </c>
      <c r="AN84" s="2">
        <v>18.48</v>
      </c>
      <c r="AO84" s="2">
        <v>1676</v>
      </c>
      <c r="AP84" s="2">
        <v>176.4</v>
      </c>
      <c r="AQ84" s="2">
        <v>276.4</v>
      </c>
      <c r="AR84" s="2">
        <v>4.12</v>
      </c>
      <c r="AS84" s="2">
        <v>66.87</v>
      </c>
      <c r="AT84" s="12">
        <v>791000</v>
      </c>
    </row>
    <row r="85" spans="28:46" ht="15">
      <c r="AB85" s="10" t="s">
        <v>108</v>
      </c>
      <c r="AC85" s="2">
        <v>90.7</v>
      </c>
      <c r="AD85" s="1">
        <v>500</v>
      </c>
      <c r="AE85" s="1">
        <v>200</v>
      </c>
      <c r="AF85" s="2">
        <v>10.2</v>
      </c>
      <c r="AG85" s="2">
        <v>16</v>
      </c>
      <c r="AH85" s="2">
        <v>21</v>
      </c>
      <c r="AI85" s="37">
        <v>0</v>
      </c>
      <c r="AJ85" s="57">
        <v>115.5</v>
      </c>
      <c r="AK85" s="2">
        <v>48200</v>
      </c>
      <c r="AL85" s="58">
        <v>1928</v>
      </c>
      <c r="AM85" s="44">
        <v>2194</v>
      </c>
      <c r="AN85" s="2">
        <v>20.43</v>
      </c>
      <c r="AO85" s="2">
        <v>2142</v>
      </c>
      <c r="AP85" s="2">
        <v>214.2</v>
      </c>
      <c r="AQ85" s="2">
        <v>335.9</v>
      </c>
      <c r="AR85" s="2">
        <v>4.31</v>
      </c>
      <c r="AS85" s="2">
        <v>89.29</v>
      </c>
      <c r="AT85" s="12">
        <v>1249000</v>
      </c>
    </row>
    <row r="86" spans="28:46" ht="15">
      <c r="AB86" s="10" t="s">
        <v>109</v>
      </c>
      <c r="AC86" s="2">
        <v>106</v>
      </c>
      <c r="AD86" s="1">
        <v>550</v>
      </c>
      <c r="AE86" s="1">
        <v>210</v>
      </c>
      <c r="AF86" s="2">
        <v>11.1</v>
      </c>
      <c r="AG86" s="2">
        <v>17.2</v>
      </c>
      <c r="AH86" s="2">
        <v>24</v>
      </c>
      <c r="AI86" s="37">
        <v>0</v>
      </c>
      <c r="AJ86" s="57">
        <v>134.4</v>
      </c>
      <c r="AK86" s="2">
        <v>67120</v>
      </c>
      <c r="AL86" s="58">
        <v>2441</v>
      </c>
      <c r="AM86" s="44">
        <v>2787</v>
      </c>
      <c r="AN86" s="2">
        <v>22.35</v>
      </c>
      <c r="AO86" s="2">
        <v>2668</v>
      </c>
      <c r="AP86" s="2">
        <v>254.1</v>
      </c>
      <c r="AQ86" s="2">
        <v>400.5</v>
      </c>
      <c r="AR86" s="2">
        <v>4.45</v>
      </c>
      <c r="AS86" s="2">
        <v>123.2</v>
      </c>
      <c r="AT86" s="12">
        <v>1884000</v>
      </c>
    </row>
    <row r="87" spans="28:46" ht="15.75" thickBot="1">
      <c r="AB87" s="21" t="s">
        <v>110</v>
      </c>
      <c r="AC87" s="26">
        <v>122</v>
      </c>
      <c r="AD87" s="22">
        <v>600</v>
      </c>
      <c r="AE87" s="22">
        <v>220</v>
      </c>
      <c r="AF87" s="26">
        <v>12</v>
      </c>
      <c r="AG87" s="26">
        <v>19</v>
      </c>
      <c r="AH87" s="26">
        <v>24</v>
      </c>
      <c r="AI87" s="38">
        <v>0</v>
      </c>
      <c r="AJ87" s="59">
        <v>156</v>
      </c>
      <c r="AK87" s="26">
        <v>92080</v>
      </c>
      <c r="AL87" s="60">
        <v>3069</v>
      </c>
      <c r="AM87" s="45">
        <v>3512</v>
      </c>
      <c r="AN87" s="26">
        <v>24.3</v>
      </c>
      <c r="AO87" s="26">
        <v>3387</v>
      </c>
      <c r="AP87" s="26">
        <v>307.9</v>
      </c>
      <c r="AQ87" s="26">
        <v>485.6</v>
      </c>
      <c r="AR87" s="26">
        <v>4.66</v>
      </c>
      <c r="AS87" s="26">
        <v>165.4</v>
      </c>
      <c r="AT87" s="27">
        <v>2846000</v>
      </c>
    </row>
    <row r="88" spans="28:46" ht="15">
      <c r="AB88" s="18" t="s">
        <v>112</v>
      </c>
      <c r="AC88" s="19">
        <v>8.64</v>
      </c>
      <c r="AD88" s="19">
        <v>80</v>
      </c>
      <c r="AE88" s="19">
        <v>45</v>
      </c>
      <c r="AF88" s="19">
        <v>6</v>
      </c>
      <c r="AG88" s="19">
        <v>8</v>
      </c>
      <c r="AH88" s="19">
        <v>8</v>
      </c>
      <c r="AI88" s="33">
        <v>4</v>
      </c>
      <c r="AJ88" s="49">
        <v>11</v>
      </c>
      <c r="AK88" s="19">
        <v>106</v>
      </c>
      <c r="AL88" s="50">
        <v>26.5</v>
      </c>
      <c r="AM88" s="40">
        <v>31.8</v>
      </c>
      <c r="AN88" s="19">
        <v>3.1</v>
      </c>
      <c r="AO88" s="19">
        <v>19.4</v>
      </c>
      <c r="AP88" s="19">
        <v>6.36</v>
      </c>
      <c r="AQ88" s="19">
        <v>12.1</v>
      </c>
      <c r="AR88" s="19">
        <v>1.33</v>
      </c>
      <c r="AS88" s="19">
        <v>2.16</v>
      </c>
      <c r="AT88" s="20">
        <v>170</v>
      </c>
    </row>
    <row r="89" spans="28:46" ht="15">
      <c r="AB89" s="10" t="s">
        <v>113</v>
      </c>
      <c r="AC89" s="1">
        <v>10.6</v>
      </c>
      <c r="AD89" s="1">
        <v>100</v>
      </c>
      <c r="AE89" s="1">
        <v>50</v>
      </c>
      <c r="AF89" s="1">
        <v>6</v>
      </c>
      <c r="AG89" s="1">
        <v>8.5</v>
      </c>
      <c r="AH89" s="1">
        <v>8.5</v>
      </c>
      <c r="AI89" s="34">
        <v>4.5</v>
      </c>
      <c r="AJ89" s="51">
        <v>13.5</v>
      </c>
      <c r="AK89" s="1">
        <v>206</v>
      </c>
      <c r="AL89" s="52">
        <v>41.2</v>
      </c>
      <c r="AM89" s="41">
        <v>49</v>
      </c>
      <c r="AN89" s="1">
        <v>3.91</v>
      </c>
      <c r="AO89" s="1">
        <v>29.3</v>
      </c>
      <c r="AP89" s="1">
        <v>8.49</v>
      </c>
      <c r="AQ89" s="1">
        <v>16.2</v>
      </c>
      <c r="AR89" s="1">
        <v>1.47</v>
      </c>
      <c r="AS89" s="1">
        <v>2.81</v>
      </c>
      <c r="AT89" s="11">
        <v>410</v>
      </c>
    </row>
    <row r="90" spans="28:46" ht="15">
      <c r="AB90" s="10" t="s">
        <v>114</v>
      </c>
      <c r="AC90" s="1">
        <v>13.4</v>
      </c>
      <c r="AD90" s="1">
        <v>120</v>
      </c>
      <c r="AE90" s="1">
        <v>55</v>
      </c>
      <c r="AF90" s="1">
        <v>7</v>
      </c>
      <c r="AG90" s="1">
        <v>9</v>
      </c>
      <c r="AH90" s="1">
        <v>9</v>
      </c>
      <c r="AI90" s="34">
        <v>4.5</v>
      </c>
      <c r="AJ90" s="51">
        <v>17</v>
      </c>
      <c r="AK90" s="1">
        <v>364</v>
      </c>
      <c r="AL90" s="52">
        <v>60.7</v>
      </c>
      <c r="AM90" s="41">
        <v>72.6</v>
      </c>
      <c r="AN90" s="1">
        <v>4.62</v>
      </c>
      <c r="AO90" s="1">
        <v>43.2</v>
      </c>
      <c r="AP90" s="1">
        <v>11.1</v>
      </c>
      <c r="AQ90" s="1">
        <v>21.2</v>
      </c>
      <c r="AR90" s="1">
        <v>1.59</v>
      </c>
      <c r="AS90" s="1">
        <v>4.15</v>
      </c>
      <c r="AT90" s="11">
        <v>900</v>
      </c>
    </row>
    <row r="91" spans="28:46" ht="15">
      <c r="AB91" s="10" t="s">
        <v>115</v>
      </c>
      <c r="AC91" s="1">
        <v>16</v>
      </c>
      <c r="AD91" s="1">
        <v>140</v>
      </c>
      <c r="AE91" s="1">
        <v>60</v>
      </c>
      <c r="AF91" s="1">
        <v>7</v>
      </c>
      <c r="AG91" s="1">
        <v>10</v>
      </c>
      <c r="AH91" s="1">
        <v>10</v>
      </c>
      <c r="AI91" s="34">
        <v>5</v>
      </c>
      <c r="AJ91" s="51">
        <v>20.4</v>
      </c>
      <c r="AK91" s="1">
        <v>605</v>
      </c>
      <c r="AL91" s="52">
        <v>86.4</v>
      </c>
      <c r="AM91" s="41">
        <v>103</v>
      </c>
      <c r="AN91" s="1">
        <v>5.45</v>
      </c>
      <c r="AO91" s="1">
        <v>62.7</v>
      </c>
      <c r="AP91" s="1">
        <v>14.8</v>
      </c>
      <c r="AQ91" s="1">
        <v>28.3</v>
      </c>
      <c r="AR91" s="1">
        <v>1.75</v>
      </c>
      <c r="AS91" s="1">
        <v>5.68</v>
      </c>
      <c r="AT91" s="11">
        <v>1800</v>
      </c>
    </row>
    <row r="92" spans="28:46" ht="15">
      <c r="AB92" s="10" t="s">
        <v>116</v>
      </c>
      <c r="AC92" s="1">
        <v>18.8</v>
      </c>
      <c r="AD92" s="1">
        <v>160</v>
      </c>
      <c r="AE92" s="1">
        <v>65</v>
      </c>
      <c r="AF92" s="1">
        <v>7.5</v>
      </c>
      <c r="AG92" s="1">
        <v>10.5</v>
      </c>
      <c r="AH92" s="1">
        <v>10.5</v>
      </c>
      <c r="AI92" s="34">
        <v>5.5</v>
      </c>
      <c r="AJ92" s="51">
        <v>24</v>
      </c>
      <c r="AK92" s="1">
        <v>925</v>
      </c>
      <c r="AL92" s="52">
        <v>116</v>
      </c>
      <c r="AM92" s="41">
        <v>138</v>
      </c>
      <c r="AN92" s="1">
        <v>6.21</v>
      </c>
      <c r="AO92" s="1">
        <v>85.3</v>
      </c>
      <c r="AP92" s="1">
        <v>18.3</v>
      </c>
      <c r="AQ92" s="1">
        <v>35.2</v>
      </c>
      <c r="AR92" s="1">
        <v>1.89</v>
      </c>
      <c r="AS92" s="1">
        <v>7.39</v>
      </c>
      <c r="AT92" s="11">
        <v>3260</v>
      </c>
    </row>
    <row r="93" spans="28:46" ht="15">
      <c r="AB93" s="10" t="s">
        <v>117</v>
      </c>
      <c r="AC93" s="1">
        <v>22</v>
      </c>
      <c r="AD93" s="1">
        <v>180</v>
      </c>
      <c r="AE93" s="1">
        <v>70</v>
      </c>
      <c r="AF93" s="1">
        <v>8</v>
      </c>
      <c r="AG93" s="1">
        <v>11</v>
      </c>
      <c r="AH93" s="1">
        <v>11</v>
      </c>
      <c r="AI93" s="34">
        <v>5.5</v>
      </c>
      <c r="AJ93" s="51">
        <v>28</v>
      </c>
      <c r="AK93" s="1">
        <v>1350</v>
      </c>
      <c r="AL93" s="52">
        <v>150</v>
      </c>
      <c r="AM93" s="41">
        <v>179</v>
      </c>
      <c r="AN93" s="1">
        <v>6.95</v>
      </c>
      <c r="AO93" s="1">
        <v>114</v>
      </c>
      <c r="AP93" s="1">
        <v>22.4</v>
      </c>
      <c r="AQ93" s="1">
        <v>42.9</v>
      </c>
      <c r="AR93" s="1">
        <v>2.02</v>
      </c>
      <c r="AS93" s="1">
        <v>9.55</v>
      </c>
      <c r="AT93" s="11">
        <v>5570</v>
      </c>
    </row>
    <row r="94" spans="28:46" ht="15">
      <c r="AB94" s="10" t="s">
        <v>118</v>
      </c>
      <c r="AC94" s="1">
        <v>25.3</v>
      </c>
      <c r="AD94" s="1">
        <v>200</v>
      </c>
      <c r="AE94" s="1">
        <v>75</v>
      </c>
      <c r="AF94" s="1">
        <v>8.5</v>
      </c>
      <c r="AG94" s="1">
        <v>11.5</v>
      </c>
      <c r="AH94" s="1">
        <v>11.5</v>
      </c>
      <c r="AI94" s="34">
        <v>6</v>
      </c>
      <c r="AJ94" s="51">
        <v>32.2</v>
      </c>
      <c r="AK94" s="1">
        <v>1910</v>
      </c>
      <c r="AL94" s="52">
        <v>191</v>
      </c>
      <c r="AM94" s="41">
        <v>228</v>
      </c>
      <c r="AN94" s="1">
        <v>7.7</v>
      </c>
      <c r="AO94" s="1">
        <v>148</v>
      </c>
      <c r="AP94" s="1">
        <v>27</v>
      </c>
      <c r="AQ94" s="1">
        <v>51.8</v>
      </c>
      <c r="AR94" s="1">
        <v>2.14</v>
      </c>
      <c r="AS94" s="1">
        <v>11.9</v>
      </c>
      <c r="AT94" s="11">
        <v>9070</v>
      </c>
    </row>
    <row r="95" spans="28:46" ht="15">
      <c r="AB95" s="10" t="s">
        <v>119</v>
      </c>
      <c r="AC95" s="1">
        <v>29.4</v>
      </c>
      <c r="AD95" s="1">
        <v>220</v>
      </c>
      <c r="AE95" s="1">
        <v>80</v>
      </c>
      <c r="AF95" s="1">
        <v>9</v>
      </c>
      <c r="AG95" s="1">
        <v>12.5</v>
      </c>
      <c r="AH95" s="1">
        <v>12.5</v>
      </c>
      <c r="AI95" s="34">
        <v>6.5</v>
      </c>
      <c r="AJ95" s="51">
        <v>37.4</v>
      </c>
      <c r="AK95" s="1">
        <v>2690</v>
      </c>
      <c r="AL95" s="52">
        <v>245</v>
      </c>
      <c r="AM95" s="41">
        <v>292</v>
      </c>
      <c r="AN95" s="1">
        <v>8.48</v>
      </c>
      <c r="AO95" s="1">
        <v>197</v>
      </c>
      <c r="AP95" s="1">
        <v>33.6</v>
      </c>
      <c r="AQ95" s="1">
        <v>64.1</v>
      </c>
      <c r="AR95" s="1">
        <v>2.3</v>
      </c>
      <c r="AS95" s="1">
        <v>16</v>
      </c>
      <c r="AT95" s="11">
        <v>14600</v>
      </c>
    </row>
    <row r="96" spans="28:46" ht="15">
      <c r="AB96" s="10" t="s">
        <v>120</v>
      </c>
      <c r="AC96" s="1">
        <v>33.2</v>
      </c>
      <c r="AD96" s="1">
        <v>240</v>
      </c>
      <c r="AE96" s="1">
        <v>85</v>
      </c>
      <c r="AF96" s="1">
        <v>9.5</v>
      </c>
      <c r="AG96" s="1">
        <v>13</v>
      </c>
      <c r="AH96" s="1">
        <v>13</v>
      </c>
      <c r="AI96" s="34">
        <v>6.5</v>
      </c>
      <c r="AJ96" s="51">
        <v>42.3</v>
      </c>
      <c r="AK96" s="1">
        <v>3600</v>
      </c>
      <c r="AL96" s="52">
        <v>300</v>
      </c>
      <c r="AM96" s="41">
        <v>358</v>
      </c>
      <c r="AN96" s="1">
        <v>9.22</v>
      </c>
      <c r="AO96" s="1">
        <v>248</v>
      </c>
      <c r="AP96" s="1">
        <v>39.6</v>
      </c>
      <c r="AQ96" s="1">
        <v>75.7</v>
      </c>
      <c r="AR96" s="1">
        <v>2.42</v>
      </c>
      <c r="AS96" s="1">
        <v>19.7</v>
      </c>
      <c r="AT96" s="11">
        <v>22100</v>
      </c>
    </row>
    <row r="97" spans="28:46" ht="15">
      <c r="AB97" s="10" t="s">
        <v>121</v>
      </c>
      <c r="AC97" s="1">
        <v>37.9</v>
      </c>
      <c r="AD97" s="1">
        <v>260</v>
      </c>
      <c r="AE97" s="1">
        <v>90</v>
      </c>
      <c r="AF97" s="1">
        <v>10</v>
      </c>
      <c r="AG97" s="1">
        <v>14</v>
      </c>
      <c r="AH97" s="1">
        <v>14</v>
      </c>
      <c r="AI97" s="34">
        <v>7</v>
      </c>
      <c r="AJ97" s="51">
        <v>48.3</v>
      </c>
      <c r="AK97" s="1">
        <v>4820</v>
      </c>
      <c r="AL97" s="52">
        <v>371</v>
      </c>
      <c r="AM97" s="41">
        <v>442</v>
      </c>
      <c r="AN97" s="1">
        <v>9.99</v>
      </c>
      <c r="AO97" s="1">
        <v>317</v>
      </c>
      <c r="AP97" s="1">
        <v>47.7</v>
      </c>
      <c r="AQ97" s="1">
        <v>91.6</v>
      </c>
      <c r="AR97" s="1">
        <v>2.56</v>
      </c>
      <c r="AS97" s="1">
        <v>25.5</v>
      </c>
      <c r="AT97" s="11">
        <v>33300</v>
      </c>
    </row>
    <row r="98" spans="28:46" ht="15">
      <c r="AB98" s="10" t="s">
        <v>122</v>
      </c>
      <c r="AC98" s="1">
        <v>41.8</v>
      </c>
      <c r="AD98" s="1">
        <v>280</v>
      </c>
      <c r="AE98" s="1">
        <v>95</v>
      </c>
      <c r="AF98" s="1">
        <v>10</v>
      </c>
      <c r="AG98" s="1">
        <v>15</v>
      </c>
      <c r="AH98" s="1">
        <v>15</v>
      </c>
      <c r="AI98" s="34">
        <v>7.5</v>
      </c>
      <c r="AJ98" s="51">
        <v>53.3</v>
      </c>
      <c r="AK98" s="1">
        <v>6280</v>
      </c>
      <c r="AL98" s="52">
        <v>448</v>
      </c>
      <c r="AM98" s="41">
        <v>532</v>
      </c>
      <c r="AN98" s="1">
        <v>10.9</v>
      </c>
      <c r="AO98" s="1">
        <v>399</v>
      </c>
      <c r="AP98" s="1">
        <v>57.2</v>
      </c>
      <c r="AQ98" s="1">
        <v>109</v>
      </c>
      <c r="AR98" s="1">
        <v>2.74</v>
      </c>
      <c r="AS98" s="1">
        <v>31</v>
      </c>
      <c r="AT98" s="11">
        <v>48500</v>
      </c>
    </row>
    <row r="99" spans="28:46" ht="15">
      <c r="AB99" s="10" t="s">
        <v>123</v>
      </c>
      <c r="AC99" s="1">
        <v>46.2</v>
      </c>
      <c r="AD99" s="1">
        <v>300</v>
      </c>
      <c r="AE99" s="1">
        <v>100</v>
      </c>
      <c r="AF99" s="1">
        <v>10</v>
      </c>
      <c r="AG99" s="1">
        <v>16</v>
      </c>
      <c r="AH99" s="1">
        <v>16</v>
      </c>
      <c r="AI99" s="34">
        <v>8</v>
      </c>
      <c r="AJ99" s="51">
        <v>58.8</v>
      </c>
      <c r="AK99" s="1">
        <v>8030</v>
      </c>
      <c r="AL99" s="52">
        <v>535</v>
      </c>
      <c r="AM99" s="41">
        <v>632</v>
      </c>
      <c r="AN99" s="1">
        <v>11.7</v>
      </c>
      <c r="AO99" s="1">
        <v>495</v>
      </c>
      <c r="AP99" s="1">
        <v>67.8</v>
      </c>
      <c r="AQ99" s="1">
        <v>130</v>
      </c>
      <c r="AR99" s="1">
        <v>2.9</v>
      </c>
      <c r="AS99" s="1">
        <v>37.4</v>
      </c>
      <c r="AT99" s="11">
        <v>69100</v>
      </c>
    </row>
    <row r="100" spans="28:46" ht="15">
      <c r="AB100" s="10" t="s">
        <v>124</v>
      </c>
      <c r="AC100" s="1">
        <v>59.5</v>
      </c>
      <c r="AD100" s="1">
        <v>320</v>
      </c>
      <c r="AE100" s="1">
        <v>100</v>
      </c>
      <c r="AF100" s="1">
        <v>14</v>
      </c>
      <c r="AG100" s="1">
        <v>17.5</v>
      </c>
      <c r="AH100" s="1">
        <v>17.5</v>
      </c>
      <c r="AI100" s="34">
        <v>8.75</v>
      </c>
      <c r="AJ100" s="51">
        <v>75.8</v>
      </c>
      <c r="AK100" s="1">
        <v>10870</v>
      </c>
      <c r="AL100" s="52">
        <v>679</v>
      </c>
      <c r="AM100" s="41">
        <v>826</v>
      </c>
      <c r="AN100" s="1">
        <v>12.1</v>
      </c>
      <c r="AO100" s="1">
        <v>597</v>
      </c>
      <c r="AP100" s="1">
        <v>80.6</v>
      </c>
      <c r="AQ100" s="1">
        <v>152</v>
      </c>
      <c r="AR100" s="1">
        <v>2.81</v>
      </c>
      <c r="AS100" s="1">
        <v>66.7</v>
      </c>
      <c r="AT100" s="11">
        <v>96100</v>
      </c>
    </row>
    <row r="101" spans="28:46" ht="15">
      <c r="AB101" s="10" t="s">
        <v>125</v>
      </c>
      <c r="AC101" s="1">
        <v>60.6</v>
      </c>
      <c r="AD101" s="1">
        <v>350</v>
      </c>
      <c r="AE101" s="1">
        <v>100</v>
      </c>
      <c r="AF101" s="1">
        <v>14</v>
      </c>
      <c r="AG101" s="1">
        <v>16</v>
      </c>
      <c r="AH101" s="1">
        <v>16</v>
      </c>
      <c r="AI101" s="34">
        <v>8</v>
      </c>
      <c r="AJ101" s="51">
        <v>77.3</v>
      </c>
      <c r="AK101" s="1">
        <v>12840</v>
      </c>
      <c r="AL101" s="52">
        <v>734</v>
      </c>
      <c r="AM101" s="41">
        <v>918</v>
      </c>
      <c r="AN101" s="1">
        <v>12.9</v>
      </c>
      <c r="AO101" s="1">
        <v>570</v>
      </c>
      <c r="AP101" s="1">
        <v>75</v>
      </c>
      <c r="AQ101" s="1">
        <v>143</v>
      </c>
      <c r="AR101" s="1">
        <v>2.72</v>
      </c>
      <c r="AS101" s="1">
        <v>61.2</v>
      </c>
      <c r="AT101" s="11">
        <v>114000</v>
      </c>
    </row>
    <row r="102" spans="28:46" ht="15">
      <c r="AB102" s="10" t="s">
        <v>126</v>
      </c>
      <c r="AC102" s="1">
        <v>63.1</v>
      </c>
      <c r="AD102" s="1">
        <v>380</v>
      </c>
      <c r="AE102" s="1">
        <v>102</v>
      </c>
      <c r="AF102" s="1">
        <v>13.5</v>
      </c>
      <c r="AG102" s="1">
        <v>16</v>
      </c>
      <c r="AH102" s="1">
        <v>16</v>
      </c>
      <c r="AI102" s="34">
        <v>8</v>
      </c>
      <c r="AJ102" s="51">
        <v>80.4</v>
      </c>
      <c r="AK102" s="1">
        <v>15760</v>
      </c>
      <c r="AL102" s="52">
        <v>829</v>
      </c>
      <c r="AM102" s="41">
        <v>1014</v>
      </c>
      <c r="AN102" s="1">
        <v>14</v>
      </c>
      <c r="AO102" s="1">
        <v>615</v>
      </c>
      <c r="AP102" s="1">
        <v>78.7</v>
      </c>
      <c r="AQ102" s="1">
        <v>148</v>
      </c>
      <c r="AR102" s="1">
        <v>2.77</v>
      </c>
      <c r="AS102" s="1">
        <v>59.1</v>
      </c>
      <c r="AT102" s="11">
        <v>146000</v>
      </c>
    </row>
    <row r="103" spans="28:46" ht="15.75" thickBot="1">
      <c r="AB103" s="223" t="s">
        <v>127</v>
      </c>
      <c r="AC103" s="224">
        <v>71.8</v>
      </c>
      <c r="AD103" s="224">
        <v>400</v>
      </c>
      <c r="AE103" s="224">
        <v>110</v>
      </c>
      <c r="AF103" s="224">
        <v>14</v>
      </c>
      <c r="AG103" s="224">
        <v>18</v>
      </c>
      <c r="AH103" s="224">
        <v>18</v>
      </c>
      <c r="AI103" s="61">
        <v>9</v>
      </c>
      <c r="AJ103" s="235">
        <v>91.5</v>
      </c>
      <c r="AK103" s="224">
        <v>20350</v>
      </c>
      <c r="AL103" s="236">
        <v>1020</v>
      </c>
      <c r="AM103" s="42">
        <v>1240</v>
      </c>
      <c r="AN103" s="22">
        <v>14.9</v>
      </c>
      <c r="AO103" s="22">
        <v>846</v>
      </c>
      <c r="AP103" s="22">
        <v>102</v>
      </c>
      <c r="AQ103" s="22">
        <v>190</v>
      </c>
      <c r="AR103" s="22">
        <v>3.04</v>
      </c>
      <c r="AS103" s="22">
        <v>81.6</v>
      </c>
      <c r="AT103" s="23">
        <v>221000</v>
      </c>
    </row>
    <row r="104" spans="28:42" ht="15">
      <c r="AB104" s="258" t="s">
        <v>299</v>
      </c>
      <c r="AC104" s="3">
        <v>1.91</v>
      </c>
      <c r="AD104" s="3">
        <v>40</v>
      </c>
      <c r="AE104" s="3">
        <v>25</v>
      </c>
      <c r="AF104" s="3">
        <v>15</v>
      </c>
      <c r="AG104" s="3">
        <v>2</v>
      </c>
      <c r="AJ104" s="3">
        <v>2.44</v>
      </c>
      <c r="AK104" s="3">
        <v>4.96</v>
      </c>
      <c r="AL104" s="3">
        <v>2.37</v>
      </c>
      <c r="AO104" s="272">
        <f aca="true" t="shared" si="0" ref="AO104:AO117">(2*AD104*AG104*(AE104/2)^2+AG104*(AE104+2*AF104)^3/12)/10000</f>
        <v>5.272916666666667</v>
      </c>
      <c r="AP104" s="272">
        <f aca="true" t="shared" si="1" ref="AP104:AP117">AO104/(AE104/2+AF104)*10</f>
        <v>1.9174242424242427</v>
      </c>
    </row>
    <row r="105" spans="28:42" ht="15">
      <c r="AB105" s="258" t="s">
        <v>300</v>
      </c>
      <c r="AC105" s="3">
        <v>2.15</v>
      </c>
      <c r="AD105" s="3">
        <v>40</v>
      </c>
      <c r="AE105" s="3">
        <v>40</v>
      </c>
      <c r="AF105" s="3">
        <v>15</v>
      </c>
      <c r="AG105" s="3">
        <v>2</v>
      </c>
      <c r="AJ105" s="3">
        <v>2.74</v>
      </c>
      <c r="AK105" s="3">
        <v>5.99</v>
      </c>
      <c r="AL105" s="3">
        <v>2.83</v>
      </c>
      <c r="AO105" s="272">
        <f t="shared" si="0"/>
        <v>12.116666666666665</v>
      </c>
      <c r="AP105" s="272">
        <f t="shared" si="1"/>
        <v>3.4619047619047616</v>
      </c>
    </row>
    <row r="106" spans="28:42" ht="15">
      <c r="AB106" s="258" t="s">
        <v>301</v>
      </c>
      <c r="AC106" s="3">
        <v>2.62</v>
      </c>
      <c r="AD106" s="3">
        <v>45</v>
      </c>
      <c r="AE106" s="3">
        <v>30</v>
      </c>
      <c r="AF106" s="3">
        <v>20</v>
      </c>
      <c r="AG106" s="3">
        <v>2.5</v>
      </c>
      <c r="AJ106" s="3">
        <v>3.34</v>
      </c>
      <c r="AK106" s="3">
        <v>8.4</v>
      </c>
      <c r="AL106" s="3">
        <v>3.7</v>
      </c>
      <c r="AO106" s="272">
        <f t="shared" si="0"/>
        <v>12.208333333333332</v>
      </c>
      <c r="AP106" s="272">
        <f t="shared" si="1"/>
        <v>3.488095238095238</v>
      </c>
    </row>
    <row r="107" spans="28:42" ht="15">
      <c r="AB107" s="258" t="s">
        <v>302</v>
      </c>
      <c r="AC107" s="3">
        <v>2.82</v>
      </c>
      <c r="AD107" s="3">
        <v>45</v>
      </c>
      <c r="AE107" s="3">
        <v>30</v>
      </c>
      <c r="AF107" s="3">
        <v>15</v>
      </c>
      <c r="AG107" s="3">
        <v>2.5</v>
      </c>
      <c r="AJ107" s="3">
        <v>3.59</v>
      </c>
      <c r="AK107" s="3">
        <v>9.35</v>
      </c>
      <c r="AL107" s="3">
        <v>3.87</v>
      </c>
      <c r="AO107" s="272">
        <f t="shared" si="0"/>
        <v>9.5625</v>
      </c>
      <c r="AP107" s="272">
        <f t="shared" si="1"/>
        <v>3.1875</v>
      </c>
    </row>
    <row r="108" spans="28:42" ht="15">
      <c r="AB108" s="258" t="s">
        <v>311</v>
      </c>
      <c r="AC108" s="3">
        <v>2.23</v>
      </c>
      <c r="AD108" s="3">
        <v>50</v>
      </c>
      <c r="AE108" s="3">
        <v>25</v>
      </c>
      <c r="AF108" s="3">
        <v>15</v>
      </c>
      <c r="AG108" s="3">
        <v>2</v>
      </c>
      <c r="AJ108" s="3">
        <v>2.84</v>
      </c>
      <c r="AK108" s="3">
        <v>8.74</v>
      </c>
      <c r="AL108" s="3">
        <v>3.36</v>
      </c>
      <c r="AO108" s="272">
        <f t="shared" si="0"/>
        <v>5.897916666666667</v>
      </c>
      <c r="AP108" s="272">
        <f t="shared" si="1"/>
        <v>2.1446969696969695</v>
      </c>
    </row>
    <row r="109" spans="28:45" ht="15">
      <c r="AB109" s="258" t="s">
        <v>303</v>
      </c>
      <c r="AC109" s="3">
        <v>2.72</v>
      </c>
      <c r="AD109" s="3">
        <v>50</v>
      </c>
      <c r="AE109" s="3">
        <v>25</v>
      </c>
      <c r="AF109" s="3">
        <v>15</v>
      </c>
      <c r="AG109" s="3">
        <v>2.5</v>
      </c>
      <c r="AJ109" s="3">
        <v>3.46</v>
      </c>
      <c r="AK109" s="3">
        <v>10.28</v>
      </c>
      <c r="AL109" s="3">
        <v>3.95</v>
      </c>
      <c r="AO109" s="272">
        <f t="shared" si="0"/>
        <v>7.372395833333334</v>
      </c>
      <c r="AP109" s="272">
        <f t="shared" si="1"/>
        <v>2.6808712121212124</v>
      </c>
      <c r="AQ109" s="272" t="s">
        <v>342</v>
      </c>
      <c r="AR109" s="272"/>
      <c r="AS109" s="272"/>
    </row>
    <row r="110" spans="28:42" ht="15">
      <c r="AB110" s="258" t="s">
        <v>304</v>
      </c>
      <c r="AC110" s="3">
        <v>3.31</v>
      </c>
      <c r="AD110" s="3">
        <v>60</v>
      </c>
      <c r="AE110" s="3">
        <v>25</v>
      </c>
      <c r="AF110" s="3">
        <v>20</v>
      </c>
      <c r="AG110" s="3">
        <v>2.5</v>
      </c>
      <c r="AJ110" s="3">
        <v>4.21</v>
      </c>
      <c r="AK110" s="3">
        <v>18.2</v>
      </c>
      <c r="AL110" s="3">
        <v>5.57</v>
      </c>
      <c r="AO110" s="272">
        <f t="shared" si="0"/>
        <v>10.408854166666666</v>
      </c>
      <c r="AP110" s="272">
        <f t="shared" si="1"/>
        <v>3.2027243589743586</v>
      </c>
    </row>
    <row r="111" spans="28:42" ht="15">
      <c r="AB111" s="258" t="s">
        <v>305</v>
      </c>
      <c r="AC111" s="3">
        <v>3.89</v>
      </c>
      <c r="AD111" s="3">
        <v>80</v>
      </c>
      <c r="AE111" s="3">
        <v>25</v>
      </c>
      <c r="AF111" s="3">
        <v>20</v>
      </c>
      <c r="AG111" s="3">
        <v>3</v>
      </c>
      <c r="AJ111" s="3">
        <v>4.96</v>
      </c>
      <c r="AK111" s="3">
        <v>20.73</v>
      </c>
      <c r="AL111" s="3">
        <v>6.34</v>
      </c>
      <c r="AO111" s="272">
        <f t="shared" si="0"/>
        <v>14.365625</v>
      </c>
      <c r="AP111" s="272">
        <f t="shared" si="1"/>
        <v>4.420192307692307</v>
      </c>
    </row>
    <row r="112" spans="28:42" ht="15">
      <c r="AB112" s="258" t="s">
        <v>307</v>
      </c>
      <c r="AC112" s="3">
        <v>3.72</v>
      </c>
      <c r="AD112" s="3">
        <v>80</v>
      </c>
      <c r="AE112" s="3">
        <v>40</v>
      </c>
      <c r="AF112" s="3">
        <v>25</v>
      </c>
      <c r="AG112" s="3">
        <v>2</v>
      </c>
      <c r="AJ112" s="3">
        <v>4.74</v>
      </c>
      <c r="AK112" s="3">
        <v>39.65</v>
      </c>
      <c r="AL112" s="3">
        <v>9.49</v>
      </c>
      <c r="AO112" s="272">
        <f t="shared" si="0"/>
        <v>24.95</v>
      </c>
      <c r="AP112" s="272">
        <f t="shared" si="1"/>
        <v>5.544444444444444</v>
      </c>
    </row>
    <row r="113" spans="28:42" ht="15">
      <c r="AB113" s="258" t="s">
        <v>308</v>
      </c>
      <c r="AC113" s="3">
        <v>4.58</v>
      </c>
      <c r="AD113" s="3">
        <v>80</v>
      </c>
      <c r="AE113" s="3">
        <v>40</v>
      </c>
      <c r="AF113" s="3">
        <v>25</v>
      </c>
      <c r="AG113" s="3">
        <v>2.5</v>
      </c>
      <c r="AJ113" s="3">
        <v>5.84</v>
      </c>
      <c r="AK113" s="3">
        <v>47.77</v>
      </c>
      <c r="AL113" s="3">
        <v>11.42</v>
      </c>
      <c r="AO113" s="272">
        <f t="shared" si="0"/>
        <v>31.1875</v>
      </c>
      <c r="AP113" s="272">
        <f t="shared" si="1"/>
        <v>6.930555555555555</v>
      </c>
    </row>
    <row r="114" spans="28:42" ht="15">
      <c r="AB114" s="258" t="s">
        <v>306</v>
      </c>
      <c r="AC114" s="3">
        <v>5.42</v>
      </c>
      <c r="AD114" s="3">
        <v>80</v>
      </c>
      <c r="AE114" s="3">
        <v>40</v>
      </c>
      <c r="AF114" s="3">
        <v>25</v>
      </c>
      <c r="AG114" s="3">
        <v>3</v>
      </c>
      <c r="AJ114" s="3">
        <v>6.91</v>
      </c>
      <c r="AK114" s="3">
        <v>55.25</v>
      </c>
      <c r="AL114" s="3">
        <v>13.2</v>
      </c>
      <c r="AO114" s="272">
        <f t="shared" si="0"/>
        <v>37.425</v>
      </c>
      <c r="AP114" s="272">
        <f t="shared" si="1"/>
        <v>8.316666666666666</v>
      </c>
    </row>
    <row r="115" spans="28:42" ht="15">
      <c r="AB115" s="258" t="s">
        <v>309</v>
      </c>
      <c r="AC115" s="3">
        <v>4.03</v>
      </c>
      <c r="AD115" s="3">
        <v>90</v>
      </c>
      <c r="AE115" s="3">
        <v>40</v>
      </c>
      <c r="AF115" s="3">
        <v>25</v>
      </c>
      <c r="AG115" s="3">
        <v>2</v>
      </c>
      <c r="AJ115" s="3">
        <v>5.14</v>
      </c>
      <c r="AK115" s="3">
        <v>53.15</v>
      </c>
      <c r="AL115" s="3">
        <v>11.35</v>
      </c>
      <c r="AO115" s="272">
        <f t="shared" si="0"/>
        <v>26.55</v>
      </c>
      <c r="AP115" s="272">
        <f t="shared" si="1"/>
        <v>5.8999999999999995</v>
      </c>
    </row>
    <row r="116" spans="28:42" ht="15">
      <c r="AB116" s="258" t="s">
        <v>310</v>
      </c>
      <c r="AC116" s="3">
        <v>4.98</v>
      </c>
      <c r="AD116" s="3">
        <v>90</v>
      </c>
      <c r="AE116" s="3">
        <v>40</v>
      </c>
      <c r="AF116" s="3">
        <v>25</v>
      </c>
      <c r="AG116" s="3">
        <v>2.5</v>
      </c>
      <c r="AJ116" s="3">
        <v>6.34</v>
      </c>
      <c r="AK116" s="3">
        <v>64.24</v>
      </c>
      <c r="AL116" s="3">
        <v>13.7</v>
      </c>
      <c r="AO116" s="272">
        <f t="shared" si="0"/>
        <v>33.1875</v>
      </c>
      <c r="AP116" s="272">
        <f t="shared" si="1"/>
        <v>7.375</v>
      </c>
    </row>
    <row r="117" spans="28:42" ht="15">
      <c r="AB117" s="258" t="s">
        <v>328</v>
      </c>
      <c r="AC117" s="3">
        <v>5.89</v>
      </c>
      <c r="AD117" s="3">
        <v>90</v>
      </c>
      <c r="AE117" s="3">
        <v>40</v>
      </c>
      <c r="AF117" s="3">
        <v>25</v>
      </c>
      <c r="AG117" s="3">
        <v>3</v>
      </c>
      <c r="AJ117" s="3">
        <v>7.51</v>
      </c>
      <c r="AK117" s="3">
        <v>74.51</v>
      </c>
      <c r="AL117" s="3">
        <v>15.89</v>
      </c>
      <c r="AO117" s="272">
        <f t="shared" si="0"/>
        <v>39.825</v>
      </c>
      <c r="AP117" s="272">
        <f t="shared" si="1"/>
        <v>8.85</v>
      </c>
    </row>
    <row r="118" spans="28:42" ht="15">
      <c r="AB118" s="258" t="s">
        <v>272</v>
      </c>
      <c r="AC118" s="259">
        <v>4.7</v>
      </c>
      <c r="AD118" s="3">
        <v>100</v>
      </c>
      <c r="AE118" s="3">
        <v>50</v>
      </c>
      <c r="AF118" s="3">
        <v>30</v>
      </c>
      <c r="AG118" s="3">
        <v>2</v>
      </c>
      <c r="AJ118" s="259">
        <v>5.93</v>
      </c>
      <c r="AK118" s="259">
        <v>78.64</v>
      </c>
      <c r="AL118" s="259">
        <v>15.18</v>
      </c>
      <c r="AM118" s="260"/>
      <c r="AO118" s="259">
        <v>41.95</v>
      </c>
      <c r="AP118" s="259">
        <v>7.89</v>
      </c>
    </row>
    <row r="119" spans="28:42" ht="15">
      <c r="AB119" s="258" t="s">
        <v>273</v>
      </c>
      <c r="AC119" s="259">
        <v>5.8</v>
      </c>
      <c r="AJ119" s="259">
        <v>7.33</v>
      </c>
      <c r="AK119" s="259">
        <v>95.48</v>
      </c>
      <c r="AL119" s="259">
        <v>18.42</v>
      </c>
      <c r="AM119" s="260"/>
      <c r="AO119" s="259">
        <v>50.74</v>
      </c>
      <c r="AP119" s="259">
        <v>9.66</v>
      </c>
    </row>
    <row r="120" spans="28:42" ht="15">
      <c r="AB120" s="258" t="s">
        <v>274</v>
      </c>
      <c r="AC120" s="259">
        <v>6.86</v>
      </c>
      <c r="AJ120" s="259">
        <v>8.7</v>
      </c>
      <c r="AK120" s="259">
        <v>111.25</v>
      </c>
      <c r="AL120" s="259">
        <v>21.45</v>
      </c>
      <c r="AM120" s="260"/>
      <c r="AO120" s="259">
        <v>59.06</v>
      </c>
      <c r="AP120" s="259">
        <v>11.35</v>
      </c>
    </row>
    <row r="121" spans="28:42" ht="15">
      <c r="AB121" s="258" t="s">
        <v>275</v>
      </c>
      <c r="AC121" s="259">
        <v>4.86</v>
      </c>
      <c r="AJ121" s="259">
        <v>6.05</v>
      </c>
      <c r="AK121" s="259">
        <v>82.15</v>
      </c>
      <c r="AL121" s="259">
        <v>16.75</v>
      </c>
      <c r="AM121" s="260"/>
      <c r="AO121" s="259">
        <v>43.9</v>
      </c>
      <c r="AP121" s="259">
        <v>8.4</v>
      </c>
    </row>
    <row r="122" spans="28:42" ht="15">
      <c r="AB122" s="258" t="s">
        <v>276</v>
      </c>
      <c r="AC122" s="259">
        <v>6</v>
      </c>
      <c r="AJ122" s="259">
        <v>7.58</v>
      </c>
      <c r="AK122" s="259">
        <v>102.55</v>
      </c>
      <c r="AL122" s="259">
        <v>20.51</v>
      </c>
      <c r="AM122" s="260"/>
      <c r="AO122" s="259">
        <v>70.68</v>
      </c>
      <c r="AP122" s="259">
        <v>12.29</v>
      </c>
    </row>
    <row r="123" spans="28:42" ht="15">
      <c r="AB123" s="258" t="s">
        <v>277</v>
      </c>
      <c r="AC123" s="259">
        <v>7.1</v>
      </c>
      <c r="AJ123" s="259">
        <v>9</v>
      </c>
      <c r="AK123" s="259">
        <v>119.73</v>
      </c>
      <c r="AL123" s="259">
        <v>23.94</v>
      </c>
      <c r="AM123" s="260"/>
      <c r="AO123" s="259">
        <v>82.5</v>
      </c>
      <c r="AP123" s="259">
        <v>14.47</v>
      </c>
    </row>
    <row r="124" spans="28:42" ht="15">
      <c r="AB124" s="258" t="s">
        <v>278</v>
      </c>
      <c r="AC124" s="259">
        <v>5.5</v>
      </c>
      <c r="AJ124" s="259">
        <v>6.9</v>
      </c>
      <c r="AK124" s="259">
        <v>130.66</v>
      </c>
      <c r="AL124" s="259">
        <v>21.78</v>
      </c>
      <c r="AM124" s="260"/>
      <c r="AO124" s="259">
        <v>64.54</v>
      </c>
      <c r="AP124" s="259">
        <v>11.13</v>
      </c>
    </row>
    <row r="125" spans="28:42" ht="15">
      <c r="AB125" s="258" t="s">
        <v>279</v>
      </c>
      <c r="AC125" s="259">
        <v>6.8</v>
      </c>
      <c r="AJ125" s="259">
        <v>8.53</v>
      </c>
      <c r="AK125" s="259">
        <v>159.3</v>
      </c>
      <c r="AL125" s="259">
        <v>26.55</v>
      </c>
      <c r="AM125" s="260"/>
      <c r="AO125" s="259">
        <v>78.46</v>
      </c>
      <c r="AP125" s="259">
        <v>13.64</v>
      </c>
    </row>
    <row r="126" spans="28:42" ht="15">
      <c r="AB126" s="258" t="s">
        <v>280</v>
      </c>
      <c r="AC126" s="259">
        <v>8.06</v>
      </c>
      <c r="AJ126" s="259">
        <v>10.12</v>
      </c>
      <c r="AK126" s="259">
        <v>196.39</v>
      </c>
      <c r="AL126" s="259">
        <v>31.06</v>
      </c>
      <c r="AM126" s="260"/>
      <c r="AO126" s="259">
        <v>91.53</v>
      </c>
      <c r="AP126" s="259">
        <v>16.06</v>
      </c>
    </row>
    <row r="127" spans="28:42" ht="15">
      <c r="AB127" s="258" t="s">
        <v>281</v>
      </c>
      <c r="AC127" s="259">
        <v>9.17</v>
      </c>
      <c r="AJ127" s="259">
        <v>11.68</v>
      </c>
      <c r="AK127" s="259">
        <v>211.97</v>
      </c>
      <c r="AL127" s="259">
        <v>35.33</v>
      </c>
      <c r="AM127" s="260"/>
      <c r="AO127" s="259">
        <v>103.8</v>
      </c>
      <c r="AP127" s="259">
        <v>18.37</v>
      </c>
    </row>
    <row r="128" spans="28:42" ht="15">
      <c r="AB128" s="258" t="s">
        <v>282</v>
      </c>
      <c r="AC128" s="259">
        <v>6.14</v>
      </c>
      <c r="AJ128" s="259">
        <v>7.7</v>
      </c>
      <c r="AK128" s="259">
        <v>158.51</v>
      </c>
      <c r="AL128" s="259">
        <v>26.42</v>
      </c>
      <c r="AM128" s="260"/>
      <c r="AO128" s="259">
        <v>132.94</v>
      </c>
      <c r="AP128" s="259">
        <v>17.04</v>
      </c>
    </row>
    <row r="129" spans="28:42" ht="15">
      <c r="AB129" s="258" t="s">
        <v>283</v>
      </c>
      <c r="AC129" s="259">
        <v>7.6</v>
      </c>
      <c r="AJ129" s="259">
        <v>9.53</v>
      </c>
      <c r="AK129" s="259">
        <v>193.82</v>
      </c>
      <c r="AL129" s="259">
        <v>32.3</v>
      </c>
      <c r="AM129" s="260"/>
      <c r="AO129" s="259">
        <v>162.52</v>
      </c>
      <c r="AP129" s="259">
        <v>20.97</v>
      </c>
    </row>
    <row r="130" spans="28:42" ht="15">
      <c r="AB130" s="258" t="s">
        <v>284</v>
      </c>
      <c r="AC130" s="259">
        <v>9.02</v>
      </c>
      <c r="AJ130" s="259">
        <v>11.32</v>
      </c>
      <c r="AK130" s="259">
        <v>227.46</v>
      </c>
      <c r="AL130" s="259">
        <v>37.91</v>
      </c>
      <c r="AM130" s="260"/>
      <c r="AO130" s="259">
        <v>190.71</v>
      </c>
      <c r="AP130" s="259">
        <v>24.77</v>
      </c>
    </row>
    <row r="131" spans="28:42" ht="15">
      <c r="AB131" s="258" t="s">
        <v>285</v>
      </c>
      <c r="AC131" s="259">
        <v>10.27</v>
      </c>
      <c r="AJ131" s="259">
        <v>13.08</v>
      </c>
      <c r="AK131" s="259">
        <v>259.48</v>
      </c>
      <c r="AL131" s="259">
        <v>43.25</v>
      </c>
      <c r="AM131" s="260"/>
      <c r="AO131" s="259">
        <v>217.54</v>
      </c>
      <c r="AP131" s="259">
        <v>28.44</v>
      </c>
    </row>
    <row r="132" spans="28:42" ht="15">
      <c r="AB132" s="258" t="s">
        <v>286</v>
      </c>
      <c r="AC132" s="259">
        <v>7.1</v>
      </c>
      <c r="AJ132" s="259">
        <v>8.9</v>
      </c>
      <c r="AK132" s="259">
        <v>271.25</v>
      </c>
      <c r="AL132" s="259">
        <v>36.17</v>
      </c>
      <c r="AM132" s="260"/>
      <c r="AO132" s="259">
        <v>151.19</v>
      </c>
      <c r="AP132" s="259">
        <v>19.38</v>
      </c>
    </row>
    <row r="133" spans="28:42" ht="15">
      <c r="AB133" s="258" t="s">
        <v>287</v>
      </c>
      <c r="AC133" s="259">
        <v>8.8</v>
      </c>
      <c r="AJ133" s="259">
        <v>11.03</v>
      </c>
      <c r="AK133" s="259">
        <v>332.59</v>
      </c>
      <c r="AL133" s="259">
        <v>44.35</v>
      </c>
      <c r="AM133" s="260"/>
      <c r="AO133" s="259">
        <v>185.05</v>
      </c>
      <c r="AP133" s="259">
        <v>23.88</v>
      </c>
    </row>
    <row r="134" spans="28:42" ht="15">
      <c r="AB134" s="258" t="s">
        <v>288</v>
      </c>
      <c r="AC134" s="259">
        <v>10.46</v>
      </c>
      <c r="AJ134" s="259">
        <v>13.12</v>
      </c>
      <c r="AK134" s="259">
        <v>391.44</v>
      </c>
      <c r="AL134" s="259">
        <v>52.19</v>
      </c>
      <c r="AM134" s="260"/>
      <c r="AO134" s="259">
        <v>217.41</v>
      </c>
      <c r="AP134" s="259">
        <v>28.23</v>
      </c>
    </row>
    <row r="135" spans="28:42" ht="15">
      <c r="AB135" s="258" t="s">
        <v>289</v>
      </c>
      <c r="AC135" s="259">
        <v>11.92</v>
      </c>
      <c r="AJ135" s="259">
        <v>15.18</v>
      </c>
      <c r="AK135" s="259">
        <v>447.82</v>
      </c>
      <c r="AL135" s="259">
        <v>59.71</v>
      </c>
      <c r="AM135" s="260"/>
      <c r="AO135" s="259">
        <v>248.29</v>
      </c>
      <c r="AP135" s="259">
        <v>32.46</v>
      </c>
    </row>
    <row r="136" spans="28:42" ht="15">
      <c r="AB136" s="258" t="s">
        <v>290</v>
      </c>
      <c r="AC136" s="259">
        <v>8.06</v>
      </c>
      <c r="AJ136" s="259">
        <v>10.1</v>
      </c>
      <c r="AK136" s="259">
        <v>424.03</v>
      </c>
      <c r="AL136" s="259">
        <v>47.11</v>
      </c>
      <c r="AM136" s="260"/>
      <c r="AO136" s="259">
        <v>169.45</v>
      </c>
      <c r="AP136" s="259">
        <v>21.72</v>
      </c>
    </row>
    <row r="137" spans="28:42" ht="15">
      <c r="AB137" s="258" t="s">
        <v>291</v>
      </c>
      <c r="AC137" s="259">
        <v>10</v>
      </c>
      <c r="AJ137" s="259">
        <v>12.53</v>
      </c>
      <c r="AK137" s="259">
        <v>521</v>
      </c>
      <c r="AL137" s="259">
        <v>57.89</v>
      </c>
      <c r="AM137" s="260"/>
      <c r="AO137" s="259">
        <v>207.59</v>
      </c>
      <c r="AP137" s="259">
        <v>26.79</v>
      </c>
    </row>
    <row r="138" spans="28:42" ht="15">
      <c r="AB138" s="258" t="s">
        <v>292</v>
      </c>
      <c r="AC138" s="259">
        <v>11.9</v>
      </c>
      <c r="AJ138" s="259">
        <v>14.92</v>
      </c>
      <c r="AK138" s="259">
        <v>614.47</v>
      </c>
      <c r="AL138" s="259">
        <v>68.27</v>
      </c>
      <c r="AM138" s="260"/>
      <c r="AO138" s="259">
        <v>244.1</v>
      </c>
      <c r="AP138" s="259">
        <v>31.7</v>
      </c>
    </row>
    <row r="139" spans="28:42" ht="15">
      <c r="AB139" s="258" t="s">
        <v>293</v>
      </c>
      <c r="AC139" s="259">
        <v>13.56</v>
      </c>
      <c r="AJ139" s="259">
        <v>17.28</v>
      </c>
      <c r="AK139" s="259">
        <v>704.47</v>
      </c>
      <c r="AL139" s="259">
        <v>78.27</v>
      </c>
      <c r="AM139" s="260"/>
      <c r="AO139" s="259">
        <v>279.03</v>
      </c>
      <c r="AP139" s="259">
        <v>36.47</v>
      </c>
    </row>
    <row r="140" spans="28:42" ht="15">
      <c r="AB140" s="258" t="s">
        <v>294</v>
      </c>
      <c r="AC140" s="259">
        <v>8.54</v>
      </c>
      <c r="AJ140" s="259">
        <v>10.7</v>
      </c>
      <c r="AK140" s="259">
        <v>471.26</v>
      </c>
      <c r="AL140" s="259">
        <v>51.41</v>
      </c>
      <c r="AM140" s="260"/>
      <c r="AO140" s="259">
        <v>274.84</v>
      </c>
      <c r="AP140" s="259">
        <v>29.55</v>
      </c>
    </row>
    <row r="141" spans="28:42" ht="15">
      <c r="AB141" s="258" t="s">
        <v>295</v>
      </c>
      <c r="AC141" s="259">
        <v>10.6</v>
      </c>
      <c r="AJ141" s="259">
        <v>13.28</v>
      </c>
      <c r="AK141" s="259">
        <v>579.71</v>
      </c>
      <c r="AL141" s="259">
        <v>63.24</v>
      </c>
      <c r="AM141" s="260"/>
      <c r="AO141" s="259">
        <v>337.65</v>
      </c>
      <c r="AP141" s="259">
        <v>36.5</v>
      </c>
    </row>
    <row r="142" spans="28:42" ht="15">
      <c r="AB142" s="258" t="s">
        <v>296</v>
      </c>
      <c r="AC142" s="259">
        <v>12.62</v>
      </c>
      <c r="AJ142" s="259">
        <v>15.83</v>
      </c>
      <c r="AK142" s="259">
        <v>684.52</v>
      </c>
      <c r="AL142" s="259">
        <v>74.67</v>
      </c>
      <c r="AM142" s="260"/>
      <c r="AO142" s="259">
        <v>398.17</v>
      </c>
      <c r="AP142" s="259">
        <v>43.28</v>
      </c>
    </row>
    <row r="143" spans="28:42" ht="15">
      <c r="AB143" s="258" t="s">
        <v>297</v>
      </c>
      <c r="AC143" s="259">
        <v>14.39</v>
      </c>
      <c r="AJ143" s="259">
        <v>18.33</v>
      </c>
      <c r="AK143" s="259">
        <v>785.73</v>
      </c>
      <c r="AL143" s="259">
        <v>85.7</v>
      </c>
      <c r="AM143" s="260"/>
      <c r="AO143" s="259">
        <v>456.46</v>
      </c>
      <c r="AP143" s="259">
        <v>49.89</v>
      </c>
    </row>
    <row r="144" spans="28:42" ht="15.75" thickBot="1">
      <c r="AB144" s="258" t="s">
        <v>298</v>
      </c>
      <c r="AC144" s="259">
        <v>16.57</v>
      </c>
      <c r="AJ144" s="259">
        <v>20.8</v>
      </c>
      <c r="AK144" s="259">
        <v>883.4</v>
      </c>
      <c r="AL144" s="259">
        <v>96.34</v>
      </c>
      <c r="AM144" s="260"/>
      <c r="AO144" s="259">
        <v>512.55</v>
      </c>
      <c r="AP144" s="259">
        <v>56.32</v>
      </c>
    </row>
    <row r="145" spans="28:46" ht="15">
      <c r="AB145" s="229" t="str">
        <f>CONCATENATE("Rettang. b",O2,"xh",P2,"mm")</f>
        <v>Rettang. b20xh150mm</v>
      </c>
      <c r="AC145" s="226"/>
      <c r="AD145" s="226">
        <f>P2</f>
        <v>150</v>
      </c>
      <c r="AE145" s="226">
        <f>O2</f>
        <v>20</v>
      </c>
      <c r="AF145" s="226"/>
      <c r="AG145" s="226"/>
      <c r="AH145" s="226"/>
      <c r="AI145" s="226"/>
      <c r="AJ145" s="225">
        <f>AE145*AD145/100</f>
        <v>30</v>
      </c>
      <c r="AK145" s="226">
        <f>AE145*AD145^3/12/10000</f>
        <v>562.5</v>
      </c>
      <c r="AL145" s="227">
        <f>AE145*AD145^2/6/1000</f>
        <v>75</v>
      </c>
      <c r="AM145" s="14"/>
      <c r="AN145" s="14"/>
      <c r="AO145" s="226">
        <f>AD145*AE145^3/12/10000</f>
        <v>10</v>
      </c>
      <c r="AP145" s="227">
        <f>AD145*AE145^2/6/1000</f>
        <v>10</v>
      </c>
      <c r="AQ145" s="14"/>
      <c r="AR145" s="14"/>
      <c r="AS145" s="14"/>
      <c r="AT145" s="15"/>
    </row>
    <row r="146" spans="28:46" ht="15">
      <c r="AB146" s="13" t="str">
        <f>IF((O3=P3),(CONCATENATE("Tubo Quad.h",P3,"*b",O3,"*s",Q3,"mm")),(CONCATENATE("Tubo Ret.h",P3,"*b",O3,"*s",Q3,"mm")))</f>
        <v>Tubo Ret.h280*b190*s8mm</v>
      </c>
      <c r="AC146" s="14"/>
      <c r="AD146" s="14">
        <f>P3</f>
        <v>280</v>
      </c>
      <c r="AE146" s="14">
        <f>O3</f>
        <v>190</v>
      </c>
      <c r="AF146" s="14">
        <f>Q3</f>
        <v>8</v>
      </c>
      <c r="AG146" s="14"/>
      <c r="AH146" s="14"/>
      <c r="AI146" s="14"/>
      <c r="AJ146" s="13">
        <f>(AD146*AE146-(AD146-2*AF146)*(AE146-2*AF146))/100</f>
        <v>72.64</v>
      </c>
      <c r="AK146" s="14">
        <f>(AD146^3*AE146/12-(AD146-2*AF146)^3*(AE146-2*AF146)/12)/10000</f>
        <v>8077.704533333332</v>
      </c>
      <c r="AL146" s="15">
        <f>AK146/AD146*20</f>
        <v>576.9788952380951</v>
      </c>
      <c r="AM146" s="14"/>
      <c r="AN146" s="14"/>
      <c r="AO146" s="14">
        <f>(AE146^3*AD146/12-(AE146-2*AF146)^3*(AD146-2*AF146)/12)/10000</f>
        <v>4414.680533333334</v>
      </c>
      <c r="AP146" s="15">
        <f>AO146/AE146*20</f>
        <v>464.70321403508774</v>
      </c>
      <c r="AQ146" s="14"/>
      <c r="AR146" s="14"/>
      <c r="AS146" s="14"/>
      <c r="AT146" s="15"/>
    </row>
    <row r="147" spans="28:46" ht="15">
      <c r="AB147" s="13" t="str">
        <f>CONCATENATE("Tubo Cic.D",O4,"*s",Q4,"mm")</f>
        <v>Tubo Cic.D100*s3mm</v>
      </c>
      <c r="AC147" s="14"/>
      <c r="AD147" s="14"/>
      <c r="AE147" s="14">
        <f>O4/2</f>
        <v>50</v>
      </c>
      <c r="AF147" s="14">
        <f>Q4</f>
        <v>3</v>
      </c>
      <c r="AG147" s="14"/>
      <c r="AH147" s="14"/>
      <c r="AI147" s="14"/>
      <c r="AJ147" s="13">
        <f>(AE147^2-(AE147-AF147)^2)*3.1416/100</f>
        <v>9.142056</v>
      </c>
      <c r="AK147" s="14">
        <f>(AE147^4-(AE147-AF147)^4)*3.1416/40000</f>
        <v>107.62485426</v>
      </c>
      <c r="AL147" s="15">
        <f>AK147/AE147*10</f>
        <v>21.524970852000003</v>
      </c>
      <c r="AM147" s="14"/>
      <c r="AN147" s="14"/>
      <c r="AO147" s="14">
        <f>(AE147^4-(AE147-AF147)^4)*3.1416/40000</f>
        <v>107.62485426</v>
      </c>
      <c r="AP147" s="15">
        <f>AO147/AE147*10</f>
        <v>21.524970852000003</v>
      </c>
      <c r="AQ147" s="14"/>
      <c r="AR147" s="14"/>
      <c r="AS147" s="14"/>
      <c r="AT147" s="15"/>
    </row>
    <row r="148" spans="28:46" ht="15">
      <c r="AB148" s="13" t="str">
        <f>IF(AF148=AG148,(CONCATENATE("Sez.T h",P5,"*b",O5,"*s",Q5,"mm")),((CONCATENATE("Sez.T h",P5,"*b",O5,"*sh",Q5,"*sb",R5,"mm"))))</f>
        <v>Sez.T h700*b700*s50mm</v>
      </c>
      <c r="AC148" s="14"/>
      <c r="AD148" s="14">
        <f>P5</f>
        <v>700</v>
      </c>
      <c r="AE148" s="14">
        <f>O5</f>
        <v>700</v>
      </c>
      <c r="AF148" s="14">
        <f>Q5</f>
        <v>50</v>
      </c>
      <c r="AG148" s="14">
        <f>R5</f>
        <v>50</v>
      </c>
      <c r="AH148" s="14"/>
      <c r="AI148" s="14">
        <f>(AE148*AD148^2-(AE148-AF148)*(AD148-AG148)^2)/2/AJ148/100</f>
        <v>506.48148148148147</v>
      </c>
      <c r="AJ148" s="13">
        <f>(AD148*AE148-(AD148-AG148)*(AE148-AF148))/100</f>
        <v>675</v>
      </c>
      <c r="AK148" s="14">
        <f>((AE148*AD148^2-(AE148-AF148)*(AD148-AG148)^2)^2-4*AD148*AE148*(AE148-AF148)*(AD148-AG148)*(AD148-(AD148-AG148))^2)/(AE148*AD148-(AE148-AF148)*(AD148-AG148))/120000</f>
        <v>321591.43518518517</v>
      </c>
      <c r="AL148" s="15">
        <f>((AE148*AD148^2-(AE148-AF148)*(AD148-AG148)^2)/6-(2*AD148*AE148*(AE148-AF148)*(AD148-AG148)*(AD148-(AD148-AG148))^2)/(AE148*AD148^2-(AE148-AF148)*(AD148-AG148)^2)/3)/1000</f>
        <v>6349.520109689214</v>
      </c>
      <c r="AM148" s="14">
        <f>AK148/AI148*10</f>
        <v>6349.520109689214</v>
      </c>
      <c r="AN148" s="14"/>
      <c r="AO148" s="14">
        <f>((AD148-AG148)*AF148^3+AG148*AE148^3)/120000</f>
        <v>143593.75</v>
      </c>
      <c r="AP148" s="15">
        <f>AO148/AE148*10/2</f>
        <v>1025.669642857143</v>
      </c>
      <c r="AQ148" s="14"/>
      <c r="AS148" s="14"/>
      <c r="AT148" s="15"/>
    </row>
    <row r="149" spans="28:46" ht="15">
      <c r="AB149" s="13" t="str">
        <f>IF(S6=O6,CONCATENATE("DoppioT h",P6,"*b",O6,"*sh",Q6,"*sb",R6,"mm"),CONCATENATE("DoppioT h",P6,"*bs",O6,"*bi",S6,"*sh",Q6,"*sb",R6,"mm"))</f>
        <v>DoppioT h100*bs50*bi60*sh2,5*sb2,5mm</v>
      </c>
      <c r="AC149" s="14"/>
      <c r="AD149" s="14">
        <f>P6</f>
        <v>100</v>
      </c>
      <c r="AE149" s="14">
        <f>O6</f>
        <v>50</v>
      </c>
      <c r="AF149" s="14">
        <f>Q6</f>
        <v>2.5</v>
      </c>
      <c r="AG149" s="14">
        <f>R6</f>
        <v>2.5</v>
      </c>
      <c r="AH149" s="14">
        <f>S6</f>
        <v>60</v>
      </c>
      <c r="AI149" s="14">
        <f>(AE149*AG149*(AD149-AG149/2)+AH149*AG149*AG149/2+(AD149-2*AG149)*AD149/2*AF149)/AJ149/100</f>
        <v>47.62195121951219</v>
      </c>
      <c r="AJ149" s="13">
        <f>((AE149+AH149)*AG149+(AD149-2*AG149)*AF149)/100</f>
        <v>5.125</v>
      </c>
      <c r="AK149" s="14">
        <f>(AE149*(AD149-AI149)^3-(AE149-AF149)*(AD149-AI149-AG149)^3+AH149*AI149^3-(AH149-AF149)*(AI149-AG149)^3)/30000</f>
        <v>82.94194613821134</v>
      </c>
      <c r="AL149" s="15">
        <f>MIN(AK149/AI149,AK149/(AD149-AI149))*10</f>
        <v>15.835249320915782</v>
      </c>
      <c r="AM149" s="14"/>
      <c r="AN149" s="14"/>
      <c r="AO149" s="14">
        <f>((AD149-2*AG149)*AF149^3+AG149*AE149^3+AG149*AH149^3)/120000</f>
        <v>7.116536458333333</v>
      </c>
      <c r="AP149" s="15">
        <f>AO149/MAX(AE149,AH149)*10/2</f>
        <v>0.593044704861111</v>
      </c>
      <c r="AQ149" s="14"/>
      <c r="AR149" s="14"/>
      <c r="AS149" s="14"/>
      <c r="AT149" s="15"/>
    </row>
    <row r="150" spans="28:46" ht="15">
      <c r="AB150" s="13" t="str">
        <f>CONCATENATE("Sez.Circ.D=",O7,"mm")</f>
        <v>Sez.Circ.D=100mm</v>
      </c>
      <c r="AC150" s="14"/>
      <c r="AD150" s="14"/>
      <c r="AE150" s="14">
        <f>O7/2</f>
        <v>50</v>
      </c>
      <c r="AF150" s="14"/>
      <c r="AG150" s="14"/>
      <c r="AH150" s="14"/>
      <c r="AI150" s="14"/>
      <c r="AJ150" s="13">
        <f>AE150^2*3.14/100</f>
        <v>78.5</v>
      </c>
      <c r="AK150" s="14">
        <f>(AE150^4)*3.1416/4/10000</f>
        <v>490.875</v>
      </c>
      <c r="AL150" s="15">
        <f>AK150/AE150*10</f>
        <v>98.17500000000001</v>
      </c>
      <c r="AM150" s="14"/>
      <c r="AN150" s="14"/>
      <c r="AO150" s="14">
        <f>(AE150^4)*3.1416/4/10000</f>
        <v>490.875</v>
      </c>
      <c r="AP150" s="15">
        <f>AO150/AE150*10</f>
        <v>98.17500000000001</v>
      </c>
      <c r="AQ150" s="14"/>
      <c r="AR150" s="14"/>
      <c r="AS150" s="14"/>
      <c r="AT150" s="15"/>
    </row>
    <row r="151" spans="28:46" ht="15.75" thickBot="1">
      <c r="AB151" s="13" t="str">
        <f>N9</f>
        <v>altra sezione</v>
      </c>
      <c r="AC151" s="14"/>
      <c r="AD151" s="234" t="s">
        <v>250</v>
      </c>
      <c r="AE151" s="234" t="s">
        <v>248</v>
      </c>
      <c r="AF151" s="234" t="s">
        <v>252</v>
      </c>
      <c r="AG151" s="234" t="s">
        <v>251</v>
      </c>
      <c r="AH151" s="234" t="s">
        <v>249</v>
      </c>
      <c r="AI151" s="14"/>
      <c r="AJ151" s="237">
        <f>P9</f>
        <v>10</v>
      </c>
      <c r="AK151" s="16">
        <f>Q9</f>
        <v>100</v>
      </c>
      <c r="AL151" s="17">
        <f>R9</f>
        <v>50</v>
      </c>
      <c r="AO151" s="16">
        <f>S9</f>
        <v>80</v>
      </c>
      <c r="AP151" s="17">
        <f>T9</f>
        <v>40</v>
      </c>
      <c r="AQ151" s="14"/>
      <c r="AR151" s="14"/>
      <c r="AS151" s="14"/>
      <c r="AT151" s="15"/>
    </row>
    <row r="152" spans="28:46" ht="15.75" thickBot="1">
      <c r="AB152" s="131" t="s">
        <v>145</v>
      </c>
      <c r="AC152" s="62"/>
      <c r="AD152" s="62" t="s">
        <v>142</v>
      </c>
      <c r="AE152" s="62" t="s">
        <v>151</v>
      </c>
      <c r="AF152" s="62" t="s">
        <v>150</v>
      </c>
      <c r="AG152" s="62" t="s">
        <v>153</v>
      </c>
      <c r="AH152" s="62" t="s">
        <v>247</v>
      </c>
      <c r="AI152" s="62" t="s">
        <v>206</v>
      </c>
      <c r="AJ152" s="228" t="s">
        <v>207</v>
      </c>
      <c r="AK152" s="62" t="s">
        <v>338</v>
      </c>
      <c r="AL152" s="132" t="s">
        <v>339</v>
      </c>
      <c r="AM152" s="62"/>
      <c r="AN152" s="62"/>
      <c r="AO152" s="62" t="s">
        <v>340</v>
      </c>
      <c r="AP152" s="132" t="s">
        <v>341</v>
      </c>
      <c r="AQ152" s="62"/>
      <c r="AR152" s="62"/>
      <c r="AS152" s="62"/>
      <c r="AT152" s="132"/>
    </row>
    <row r="153" spans="28:46" ht="15">
      <c r="AB153" s="257" t="s">
        <v>264</v>
      </c>
      <c r="AC153" s="29" t="s">
        <v>9</v>
      </c>
      <c r="AD153" s="29" t="s">
        <v>10</v>
      </c>
      <c r="AE153" s="29" t="s">
        <v>11</v>
      </c>
      <c r="AF153" s="29" t="s">
        <v>12</v>
      </c>
      <c r="AG153" s="29" t="s">
        <v>13</v>
      </c>
      <c r="AH153" s="29" t="s">
        <v>14</v>
      </c>
      <c r="AI153" s="32" t="s">
        <v>15</v>
      </c>
      <c r="AJ153" s="46" t="s">
        <v>16</v>
      </c>
      <c r="AK153" s="47" t="s">
        <v>17</v>
      </c>
      <c r="AL153" s="48" t="s">
        <v>18</v>
      </c>
      <c r="AM153" s="39" t="s">
        <v>19</v>
      </c>
      <c r="AN153" s="29" t="s">
        <v>20</v>
      </c>
      <c r="AO153" s="29" t="s">
        <v>21</v>
      </c>
      <c r="AP153" s="29" t="s">
        <v>22</v>
      </c>
      <c r="AQ153" s="29" t="s">
        <v>23</v>
      </c>
      <c r="AR153" s="29" t="s">
        <v>24</v>
      </c>
      <c r="AS153" s="29" t="s">
        <v>25</v>
      </c>
      <c r="AT153" s="30" t="s">
        <v>26</v>
      </c>
    </row>
    <row r="154" spans="41:42" ht="15">
      <c r="AO154" s="14">
        <f>(AE154^4)*3.1416/4/10000</f>
        <v>0</v>
      </c>
      <c r="AP154" s="15" t="e">
        <f>AO154/AE154*10</f>
        <v>#DIV/0!</v>
      </c>
    </row>
    <row r="155" spans="30:38" ht="15">
      <c r="AD155" s="14"/>
      <c r="AE155" s="14"/>
      <c r="AF155" s="14"/>
      <c r="AG155" s="14"/>
      <c r="AH155" s="14"/>
      <c r="AI155" s="14"/>
      <c r="AJ155" s="14"/>
      <c r="AK155" s="14"/>
      <c r="AL155" s="14"/>
    </row>
    <row r="156" spans="28:41" ht="15">
      <c r="AB156" s="257" t="s">
        <v>264</v>
      </c>
      <c r="AC156" s="257" t="s">
        <v>265</v>
      </c>
      <c r="AJ156" s="257" t="s">
        <v>266</v>
      </c>
      <c r="AK156" s="257" t="s">
        <v>267</v>
      </c>
      <c r="AL156" s="257" t="s">
        <v>268</v>
      </c>
      <c r="AM156" s="257" t="s">
        <v>269</v>
      </c>
      <c r="AN156" s="257" t="s">
        <v>270</v>
      </c>
      <c r="AO156" s="257" t="s">
        <v>271</v>
      </c>
    </row>
    <row r="157" spans="28:41" ht="15">
      <c r="AB157" s="258" t="s">
        <v>272</v>
      </c>
      <c r="AC157" s="259">
        <v>4.7</v>
      </c>
      <c r="AJ157" s="259">
        <v>5.93</v>
      </c>
      <c r="AK157" s="259">
        <v>79.36</v>
      </c>
      <c r="AL157" s="259">
        <v>15.36</v>
      </c>
      <c r="AM157" s="260"/>
      <c r="AN157" s="259">
        <v>41.95</v>
      </c>
      <c r="AO157" s="259">
        <v>7.89</v>
      </c>
    </row>
    <row r="158" spans="28:41" ht="15">
      <c r="AB158" s="258" t="s">
        <v>273</v>
      </c>
      <c r="AC158" s="259">
        <v>5.8</v>
      </c>
      <c r="AJ158" s="259">
        <v>7.33</v>
      </c>
      <c r="AK158" s="259">
        <v>96.4</v>
      </c>
      <c r="AL158" s="259">
        <v>18.65</v>
      </c>
      <c r="AM158" s="260"/>
      <c r="AN158" s="259">
        <v>50.74</v>
      </c>
      <c r="AO158" s="259">
        <v>9.66</v>
      </c>
    </row>
    <row r="159" spans="28:41" ht="15">
      <c r="AB159" s="258" t="s">
        <v>274</v>
      </c>
      <c r="AC159" s="259">
        <v>6.86</v>
      </c>
      <c r="AJ159" s="259">
        <v>8.7</v>
      </c>
      <c r="AK159" s="259">
        <v>112.63</v>
      </c>
      <c r="AL159" s="259">
        <v>21.75</v>
      </c>
      <c r="AM159" s="260"/>
      <c r="AN159" s="259">
        <v>59.06</v>
      </c>
      <c r="AO159" s="259">
        <v>11.35</v>
      </c>
    </row>
    <row r="160" spans="28:41" ht="15">
      <c r="AB160" s="258" t="s">
        <v>275</v>
      </c>
      <c r="AC160" s="259">
        <v>4.86</v>
      </c>
      <c r="AJ160" s="259">
        <v>6.05</v>
      </c>
      <c r="AK160" s="259">
        <v>82.15</v>
      </c>
      <c r="AL160" s="259">
        <v>16.75</v>
      </c>
      <c r="AM160" s="260"/>
      <c r="AN160" s="259">
        <v>43.9</v>
      </c>
      <c r="AO160" s="259">
        <v>8.4</v>
      </c>
    </row>
    <row r="161" spans="28:41" ht="15">
      <c r="AB161" s="258" t="s">
        <v>276</v>
      </c>
      <c r="AC161" s="259">
        <v>6</v>
      </c>
      <c r="AJ161" s="259">
        <v>7.58</v>
      </c>
      <c r="AK161" s="259">
        <v>102.55</v>
      </c>
      <c r="AL161" s="259">
        <v>20.51</v>
      </c>
      <c r="AM161" s="260"/>
      <c r="AN161" s="259">
        <v>70.68</v>
      </c>
      <c r="AO161" s="259">
        <v>12.29</v>
      </c>
    </row>
    <row r="162" spans="28:41" ht="15">
      <c r="AB162" s="258" t="s">
        <v>277</v>
      </c>
      <c r="AC162" s="259">
        <v>7.1</v>
      </c>
      <c r="AJ162" s="259">
        <v>9</v>
      </c>
      <c r="AK162" s="259">
        <v>119.73</v>
      </c>
      <c r="AL162" s="259">
        <v>23.94</v>
      </c>
      <c r="AM162" s="260"/>
      <c r="AN162" s="259">
        <v>82.5</v>
      </c>
      <c r="AO162" s="259">
        <v>14.47</v>
      </c>
    </row>
    <row r="163" spans="28:41" ht="15">
      <c r="AB163" s="258" t="s">
        <v>278</v>
      </c>
      <c r="AC163" s="259">
        <v>5.5</v>
      </c>
      <c r="AJ163" s="259">
        <v>6.9</v>
      </c>
      <c r="AK163" s="259">
        <v>130.66</v>
      </c>
      <c r="AL163" s="259">
        <v>21.78</v>
      </c>
      <c r="AM163" s="260"/>
      <c r="AN163" s="259">
        <v>64.54</v>
      </c>
      <c r="AO163" s="259">
        <v>11.13</v>
      </c>
    </row>
    <row r="164" spans="28:41" ht="15">
      <c r="AB164" s="258" t="s">
        <v>279</v>
      </c>
      <c r="AC164" s="259">
        <v>6.8</v>
      </c>
      <c r="AJ164" s="259">
        <v>8.53</v>
      </c>
      <c r="AK164" s="259">
        <v>159.3</v>
      </c>
      <c r="AL164" s="259">
        <v>26.55</v>
      </c>
      <c r="AM164" s="260"/>
      <c r="AN164" s="259">
        <v>78.46</v>
      </c>
      <c r="AO164" s="259">
        <v>13.64</v>
      </c>
    </row>
    <row r="165" spans="28:41" ht="15">
      <c r="AB165" s="258" t="s">
        <v>280</v>
      </c>
      <c r="AC165" s="259">
        <v>8.06</v>
      </c>
      <c r="AJ165" s="259">
        <v>10.12</v>
      </c>
      <c r="AK165" s="259">
        <v>196.39</v>
      </c>
      <c r="AL165" s="259">
        <v>31.06</v>
      </c>
      <c r="AM165" s="260"/>
      <c r="AN165" s="259">
        <v>91.53</v>
      </c>
      <c r="AO165" s="259">
        <v>16.06</v>
      </c>
    </row>
    <row r="166" spans="28:41" ht="15">
      <c r="AB166" s="258" t="s">
        <v>281</v>
      </c>
      <c r="AC166" s="259">
        <v>9.17</v>
      </c>
      <c r="AJ166" s="259">
        <v>11.68</v>
      </c>
      <c r="AK166" s="259">
        <v>211.97</v>
      </c>
      <c r="AL166" s="259">
        <v>35.33</v>
      </c>
      <c r="AM166" s="260"/>
      <c r="AN166" s="259">
        <v>103.8</v>
      </c>
      <c r="AO166" s="259">
        <v>18.37</v>
      </c>
    </row>
    <row r="167" spans="28:41" ht="15">
      <c r="AB167" s="258" t="s">
        <v>282</v>
      </c>
      <c r="AC167" s="259">
        <v>6.14</v>
      </c>
      <c r="AJ167" s="259">
        <v>7.7</v>
      </c>
      <c r="AK167" s="259">
        <v>158.51</v>
      </c>
      <c r="AL167" s="259">
        <v>26.42</v>
      </c>
      <c r="AM167" s="260"/>
      <c r="AN167" s="259">
        <v>132.94</v>
      </c>
      <c r="AO167" s="259">
        <v>17.04</v>
      </c>
    </row>
    <row r="168" spans="28:41" ht="15">
      <c r="AB168" s="258" t="s">
        <v>283</v>
      </c>
      <c r="AC168" s="259">
        <v>7.6</v>
      </c>
      <c r="AJ168" s="259">
        <v>9.53</v>
      </c>
      <c r="AK168" s="259">
        <v>193.82</v>
      </c>
      <c r="AL168" s="259">
        <v>32.3</v>
      </c>
      <c r="AM168" s="260"/>
      <c r="AN168" s="259">
        <v>162.52</v>
      </c>
      <c r="AO168" s="259">
        <v>20.97</v>
      </c>
    </row>
    <row r="169" spans="28:41" ht="15">
      <c r="AB169" s="258" t="s">
        <v>284</v>
      </c>
      <c r="AC169" s="259">
        <v>9.02</v>
      </c>
      <c r="AJ169" s="259">
        <v>11.32</v>
      </c>
      <c r="AK169" s="259">
        <v>227.46</v>
      </c>
      <c r="AL169" s="259">
        <v>37.91</v>
      </c>
      <c r="AM169" s="260"/>
      <c r="AN169" s="259">
        <v>190.71</v>
      </c>
      <c r="AO169" s="259">
        <v>24.77</v>
      </c>
    </row>
    <row r="170" spans="28:41" ht="15">
      <c r="AB170" s="258" t="s">
        <v>285</v>
      </c>
      <c r="AC170" s="259">
        <v>10.27</v>
      </c>
      <c r="AJ170" s="259">
        <v>13.08</v>
      </c>
      <c r="AK170" s="259">
        <v>259.48</v>
      </c>
      <c r="AL170" s="259">
        <v>43.25</v>
      </c>
      <c r="AM170" s="260"/>
      <c r="AN170" s="259">
        <v>217.54</v>
      </c>
      <c r="AO170" s="259">
        <v>28.44</v>
      </c>
    </row>
    <row r="171" spans="28:41" ht="15">
      <c r="AB171" s="258" t="s">
        <v>286</v>
      </c>
      <c r="AC171" s="259">
        <v>7.1</v>
      </c>
      <c r="AJ171" s="259">
        <v>8.9</v>
      </c>
      <c r="AK171" s="259">
        <v>271.25</v>
      </c>
      <c r="AL171" s="259">
        <v>36.17</v>
      </c>
      <c r="AM171" s="260"/>
      <c r="AN171" s="259">
        <v>151.19</v>
      </c>
      <c r="AO171" s="259">
        <v>19.38</v>
      </c>
    </row>
    <row r="172" spans="28:41" ht="15">
      <c r="AB172" s="258" t="s">
        <v>287</v>
      </c>
      <c r="AC172" s="259">
        <v>8.8</v>
      </c>
      <c r="AJ172" s="259">
        <v>11.03</v>
      </c>
      <c r="AK172" s="259">
        <v>332.59</v>
      </c>
      <c r="AL172" s="259">
        <v>44.35</v>
      </c>
      <c r="AM172" s="260"/>
      <c r="AN172" s="259">
        <v>185.05</v>
      </c>
      <c r="AO172" s="259">
        <v>23.88</v>
      </c>
    </row>
    <row r="173" spans="28:41" ht="15">
      <c r="AB173" s="258" t="s">
        <v>288</v>
      </c>
      <c r="AC173" s="259">
        <v>10.46</v>
      </c>
      <c r="AJ173" s="259">
        <v>13.12</v>
      </c>
      <c r="AK173" s="259">
        <v>391.44</v>
      </c>
      <c r="AL173" s="259">
        <v>52.19</v>
      </c>
      <c r="AM173" s="260"/>
      <c r="AN173" s="259">
        <v>217.41</v>
      </c>
      <c r="AO173" s="259">
        <v>28.23</v>
      </c>
    </row>
    <row r="174" spans="28:41" ht="15">
      <c r="AB174" s="258" t="s">
        <v>289</v>
      </c>
      <c r="AC174" s="259">
        <v>11.92</v>
      </c>
      <c r="AJ174" s="259">
        <v>15.18</v>
      </c>
      <c r="AK174" s="259">
        <v>447.82</v>
      </c>
      <c r="AL174" s="259">
        <v>59.71</v>
      </c>
      <c r="AM174" s="260"/>
      <c r="AN174" s="259">
        <v>248.29</v>
      </c>
      <c r="AO174" s="259">
        <v>32.46</v>
      </c>
    </row>
    <row r="175" spans="28:41" ht="15">
      <c r="AB175" s="258" t="s">
        <v>290</v>
      </c>
      <c r="AC175" s="259">
        <v>8.06</v>
      </c>
      <c r="AJ175" s="259">
        <v>10.1</v>
      </c>
      <c r="AK175" s="259">
        <v>424.03</v>
      </c>
      <c r="AL175" s="259">
        <v>47.11</v>
      </c>
      <c r="AM175" s="260"/>
      <c r="AN175" s="259">
        <v>169.45</v>
      </c>
      <c r="AO175" s="259">
        <v>21.72</v>
      </c>
    </row>
    <row r="176" spans="28:41" ht="15">
      <c r="AB176" s="258" t="s">
        <v>291</v>
      </c>
      <c r="AC176" s="259">
        <v>10</v>
      </c>
      <c r="AJ176" s="259">
        <v>12.53</v>
      </c>
      <c r="AK176" s="259">
        <v>521</v>
      </c>
      <c r="AL176" s="259">
        <v>57.89</v>
      </c>
      <c r="AM176" s="260"/>
      <c r="AN176" s="259">
        <v>207.59</v>
      </c>
      <c r="AO176" s="259">
        <v>26.79</v>
      </c>
    </row>
    <row r="177" spans="28:41" ht="15">
      <c r="AB177" s="258" t="s">
        <v>292</v>
      </c>
      <c r="AC177" s="259">
        <v>11.9</v>
      </c>
      <c r="AJ177" s="259">
        <v>14.92</v>
      </c>
      <c r="AK177" s="259">
        <v>614.47</v>
      </c>
      <c r="AL177" s="259">
        <v>68.27</v>
      </c>
      <c r="AM177" s="260"/>
      <c r="AN177" s="259">
        <v>244.1</v>
      </c>
      <c r="AO177" s="259">
        <v>31.7</v>
      </c>
    </row>
    <row r="178" spans="28:41" ht="15">
      <c r="AB178" s="258" t="s">
        <v>293</v>
      </c>
      <c r="AC178" s="259">
        <v>13.56</v>
      </c>
      <c r="AJ178" s="259">
        <v>17.28</v>
      </c>
      <c r="AK178" s="259">
        <v>704.47</v>
      </c>
      <c r="AL178" s="259">
        <v>78.27</v>
      </c>
      <c r="AM178" s="260"/>
      <c r="AN178" s="259">
        <v>279.03</v>
      </c>
      <c r="AO178" s="259">
        <v>36.47</v>
      </c>
    </row>
    <row r="179" spans="28:41" ht="15">
      <c r="AB179" s="258" t="s">
        <v>294</v>
      </c>
      <c r="AC179" s="259">
        <v>8.54</v>
      </c>
      <c r="AJ179" s="259">
        <v>10.7</v>
      </c>
      <c r="AK179" s="259">
        <v>471.26</v>
      </c>
      <c r="AL179" s="259">
        <v>51.41</v>
      </c>
      <c r="AM179" s="260"/>
      <c r="AN179" s="259">
        <v>274.84</v>
      </c>
      <c r="AO179" s="259">
        <v>29.55</v>
      </c>
    </row>
    <row r="180" spans="28:41" ht="15">
      <c r="AB180" s="258" t="s">
        <v>295</v>
      </c>
      <c r="AC180" s="259">
        <v>10.6</v>
      </c>
      <c r="AJ180" s="259">
        <v>13.28</v>
      </c>
      <c r="AK180" s="259">
        <v>579.71</v>
      </c>
      <c r="AL180" s="259">
        <v>63.24</v>
      </c>
      <c r="AM180" s="260"/>
      <c r="AN180" s="259">
        <v>337.65</v>
      </c>
      <c r="AO180" s="259">
        <v>36.5</v>
      </c>
    </row>
    <row r="181" spans="28:41" ht="15">
      <c r="AB181" s="258" t="s">
        <v>296</v>
      </c>
      <c r="AC181" s="259">
        <v>12.62</v>
      </c>
      <c r="AJ181" s="259">
        <v>15.83</v>
      </c>
      <c r="AK181" s="259">
        <v>684.52</v>
      </c>
      <c r="AL181" s="259">
        <v>74.67</v>
      </c>
      <c r="AM181" s="260"/>
      <c r="AN181" s="259">
        <v>398.17</v>
      </c>
      <c r="AO181" s="259">
        <v>43.28</v>
      </c>
    </row>
    <row r="182" spans="28:41" ht="15">
      <c r="AB182" s="258" t="s">
        <v>297</v>
      </c>
      <c r="AC182" s="259">
        <v>14.39</v>
      </c>
      <c r="AJ182" s="259">
        <v>18.33</v>
      </c>
      <c r="AK182" s="259">
        <v>785.73</v>
      </c>
      <c r="AL182" s="259">
        <v>85.7</v>
      </c>
      <c r="AM182" s="260"/>
      <c r="AN182" s="259">
        <v>456.46</v>
      </c>
      <c r="AO182" s="259">
        <v>49.89</v>
      </c>
    </row>
    <row r="183" spans="28:41" ht="15">
      <c r="AB183" s="258" t="s">
        <v>298</v>
      </c>
      <c r="AC183" s="259">
        <v>16.57</v>
      </c>
      <c r="AJ183" s="259">
        <v>20.8</v>
      </c>
      <c r="AK183" s="259">
        <v>883.4</v>
      </c>
      <c r="AL183" s="259">
        <v>96.34</v>
      </c>
      <c r="AM183" s="260"/>
      <c r="AN183" s="259">
        <v>512.55</v>
      </c>
      <c r="AO183" s="259">
        <v>56.32</v>
      </c>
    </row>
  </sheetData>
  <sheetProtection sheet="1" objects="1" scenarios="1"/>
  <mergeCells count="43">
    <mergeCell ref="N8:O8"/>
    <mergeCell ref="N9:O9"/>
    <mergeCell ref="N40:P40"/>
    <mergeCell ref="N34:P34"/>
    <mergeCell ref="B2:F2"/>
    <mergeCell ref="B24:C24"/>
    <mergeCell ref="B22:C22"/>
    <mergeCell ref="B23:C23"/>
    <mergeCell ref="B19:C19"/>
    <mergeCell ref="D19:E19"/>
    <mergeCell ref="B17:C17"/>
    <mergeCell ref="C5:F5"/>
    <mergeCell ref="B3:F3"/>
    <mergeCell ref="B44:C44"/>
    <mergeCell ref="B43:C43"/>
    <mergeCell ref="B50:G50"/>
    <mergeCell ref="J5:L5"/>
    <mergeCell ref="D7:E7"/>
    <mergeCell ref="B7:C7"/>
    <mergeCell ref="B25:C25"/>
    <mergeCell ref="B8:C8"/>
    <mergeCell ref="B9:C9"/>
    <mergeCell ref="B21:C21"/>
    <mergeCell ref="B51:G51"/>
    <mergeCell ref="B52:G52"/>
    <mergeCell ref="B36:C36"/>
    <mergeCell ref="B31:C31"/>
    <mergeCell ref="D41:E41"/>
    <mergeCell ref="B35:D35"/>
    <mergeCell ref="B37:C37"/>
    <mergeCell ref="B40:C40"/>
    <mergeCell ref="B41:C41"/>
    <mergeCell ref="B42:C42"/>
    <mergeCell ref="S10:T10"/>
    <mergeCell ref="B10:C10"/>
    <mergeCell ref="B28:C28"/>
    <mergeCell ref="B26:C26"/>
    <mergeCell ref="B18:C18"/>
    <mergeCell ref="J18:K18"/>
    <mergeCell ref="B29:C29"/>
    <mergeCell ref="B30:C30"/>
    <mergeCell ref="B33:E33"/>
    <mergeCell ref="B38:C38"/>
  </mergeCells>
  <conditionalFormatting sqref="D44:D45">
    <cfRule type="cellIs" priority="1" dxfId="0" operator="lessThan" stopIfTrue="1">
      <formula>IF(J38=5,0,$E$44)</formula>
    </cfRule>
  </conditionalFormatting>
  <conditionalFormatting sqref="D38 D37:E37">
    <cfRule type="cellIs" priority="2" dxfId="0" operator="greaterThan" stopIfTrue="1">
      <formula>$D$9</formula>
    </cfRule>
  </conditionalFormatting>
  <conditionalFormatting sqref="F38">
    <cfRule type="expression" priority="3" dxfId="0" stopIfTrue="1">
      <formula>$D$37&gt;$D$9</formula>
    </cfRule>
  </conditionalFormatting>
  <conditionalFormatting sqref="G43 F44:F45">
    <cfRule type="expression" priority="4" dxfId="0" stopIfTrue="1">
      <formula>$D$44&lt;$E$44</formula>
    </cfRule>
  </conditionalFormatting>
  <printOptions/>
  <pageMargins left="0.75" right="0.75" top="1" bottom="1" header="0.5" footer="0.5"/>
  <pageSetup horizontalDpi="180" verticalDpi="18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6"/>
  <sheetViews>
    <sheetView showGridLines="0" showRowColHeaders="0" workbookViewId="0" topLeftCell="A1">
      <selection activeCell="E38" sqref="E38"/>
    </sheetView>
  </sheetViews>
  <sheetFormatPr defaultColWidth="9.140625" defaultRowHeight="12.75"/>
  <cols>
    <col min="2" max="2" width="14.140625" style="0" customWidth="1"/>
    <col min="4" max="4" width="15.28125" style="0" customWidth="1"/>
    <col min="5" max="5" width="15.8515625" style="0" bestFit="1" customWidth="1"/>
    <col min="6" max="6" width="14.57421875" style="0" customWidth="1"/>
  </cols>
  <sheetData>
    <row r="3" ht="12.75">
      <c r="D3" s="86" t="s">
        <v>223</v>
      </c>
    </row>
    <row r="5" spans="2:7" ht="12.75">
      <c r="B5" s="69"/>
      <c r="C5" s="69"/>
      <c r="D5" s="69"/>
      <c r="E5" s="69"/>
      <c r="F5" s="69"/>
      <c r="G5" s="69"/>
    </row>
    <row r="6" spans="1:10" ht="13.5" thickBot="1">
      <c r="A6" s="69"/>
      <c r="B6" s="69"/>
      <c r="C6" s="69"/>
      <c r="D6" s="70" t="s">
        <v>224</v>
      </c>
      <c r="F6" s="69"/>
      <c r="G6" s="69"/>
      <c r="H6" s="153"/>
      <c r="I6" s="69"/>
      <c r="J6" s="69"/>
    </row>
    <row r="7" spans="1:10" ht="12.75">
      <c r="A7" s="69"/>
      <c r="B7" s="165" t="s">
        <v>208</v>
      </c>
      <c r="C7" s="190" t="s">
        <v>221</v>
      </c>
      <c r="D7" s="180">
        <v>120</v>
      </c>
      <c r="E7" s="181">
        <v>120</v>
      </c>
      <c r="F7" s="69"/>
      <c r="G7" s="69"/>
      <c r="H7" s="153"/>
      <c r="I7" s="69"/>
      <c r="J7" s="69"/>
    </row>
    <row r="8" spans="1:10" ht="13.5" thickBot="1">
      <c r="A8" s="69"/>
      <c r="B8" s="171" t="s">
        <v>209</v>
      </c>
      <c r="C8" s="191" t="s">
        <v>221</v>
      </c>
      <c r="D8" s="192">
        <v>80</v>
      </c>
      <c r="E8" s="193">
        <v>80</v>
      </c>
      <c r="F8" s="69"/>
      <c r="G8" s="69"/>
      <c r="H8" s="153"/>
      <c r="I8" s="69"/>
      <c r="J8" s="69"/>
    </row>
    <row r="9" spans="1:10" ht="13.5" thickBot="1">
      <c r="A9" s="69"/>
      <c r="B9" s="182" t="s">
        <v>212</v>
      </c>
      <c r="C9" s="189" t="s">
        <v>221</v>
      </c>
      <c r="D9" s="187">
        <f>SUM(D7:D8)</f>
        <v>200</v>
      </c>
      <c r="E9" s="188">
        <f>SUM(E7:E8)</f>
        <v>200</v>
      </c>
      <c r="F9" s="69"/>
      <c r="G9" s="69"/>
      <c r="H9" s="153"/>
      <c r="I9" s="69"/>
      <c r="J9" s="69"/>
    </row>
    <row r="10" spans="1:10" ht="13.5" thickBot="1">
      <c r="A10" s="69"/>
      <c r="B10" s="152"/>
      <c r="C10" s="151"/>
      <c r="D10" s="151" t="s">
        <v>213</v>
      </c>
      <c r="E10" s="151" t="s">
        <v>214</v>
      </c>
      <c r="F10" s="69"/>
      <c r="G10" s="69"/>
      <c r="H10" s="153"/>
      <c r="I10" s="69"/>
      <c r="J10" s="69"/>
    </row>
    <row r="11" spans="1:10" ht="13.5" thickBot="1">
      <c r="A11" s="69"/>
      <c r="B11" s="182" t="s">
        <v>210</v>
      </c>
      <c r="C11" s="189" t="s">
        <v>2</v>
      </c>
      <c r="D11" s="183">
        <v>3.3</v>
      </c>
      <c r="E11" s="184">
        <v>2.3</v>
      </c>
      <c r="F11" s="69"/>
      <c r="G11" s="69"/>
      <c r="H11" s="153"/>
      <c r="I11" s="69"/>
      <c r="J11" s="69"/>
    </row>
    <row r="12" spans="1:10" ht="13.5" hidden="1" thickBot="1">
      <c r="A12" s="69"/>
      <c r="B12" s="69"/>
      <c r="C12" s="151"/>
      <c r="D12" s="158"/>
      <c r="E12" s="159">
        <f>E11/D11</f>
        <v>0.6969696969696969</v>
      </c>
      <c r="F12" s="69"/>
      <c r="G12" s="69"/>
      <c r="H12" s="153"/>
      <c r="I12" s="69"/>
      <c r="J12" s="69"/>
    </row>
    <row r="13" spans="1:10" ht="12.75">
      <c r="A13" s="69"/>
      <c r="B13" s="165" t="s">
        <v>217</v>
      </c>
      <c r="C13" s="190" t="s">
        <v>222</v>
      </c>
      <c r="D13" s="194" t="s">
        <v>225</v>
      </c>
      <c r="E13" s="177">
        <f>D11*D11*(-1/(1+E12)*D9-E12*E12*E12/(1+E12)*E9)/8</f>
        <v>-214.74999999999997</v>
      </c>
      <c r="F13" s="69"/>
      <c r="G13" s="69"/>
      <c r="H13" s="153"/>
      <c r="I13" s="69"/>
      <c r="J13" s="69"/>
    </row>
    <row r="14" spans="1:10" ht="13.5" thickBot="1">
      <c r="A14" s="69"/>
      <c r="B14" s="171" t="s">
        <v>220</v>
      </c>
      <c r="C14" s="191" t="s">
        <v>222</v>
      </c>
      <c r="D14" s="178">
        <f>E13/2+E13*E13/2/D9/D11/D11+D9*D11*D11/8</f>
        <v>175.46213556014692</v>
      </c>
      <c r="E14" s="179">
        <f>F13+(E13-F13)/2+(E13-F13)^2/2/E9/E11/E11+E9/8*E11*E11</f>
        <v>46.6696892722117</v>
      </c>
      <c r="F14" s="69"/>
      <c r="G14" s="69"/>
      <c r="H14" s="153"/>
      <c r="I14" s="69"/>
      <c r="J14" s="69"/>
    </row>
    <row r="15" spans="1:10" ht="12.75">
      <c r="A15" s="69"/>
      <c r="B15" s="165" t="s">
        <v>226</v>
      </c>
      <c r="C15" s="161"/>
      <c r="D15" s="166">
        <f>D9*D11*D11/E13</f>
        <v>-10.142025611175788</v>
      </c>
      <c r="E15" s="168">
        <f>E9*E11*E11/E13</f>
        <v>-4.926658905704307</v>
      </c>
      <c r="F15" s="69"/>
      <c r="G15" s="69"/>
      <c r="H15" s="153"/>
      <c r="I15" s="69"/>
      <c r="J15" s="69"/>
    </row>
    <row r="16" spans="1:10" ht="13.5" thickBot="1">
      <c r="A16" s="69"/>
      <c r="B16" s="171" t="s">
        <v>219</v>
      </c>
      <c r="C16" s="172"/>
      <c r="D16" s="173">
        <f>D9*D11*D11/D14</f>
        <v>12.412934523149014</v>
      </c>
      <c r="E16" s="174">
        <f>E9*E11*E11/E14</f>
        <v>22.669960235410425</v>
      </c>
      <c r="F16" s="69"/>
      <c r="G16" s="69"/>
      <c r="H16" s="153"/>
      <c r="I16" s="69"/>
      <c r="J16" s="69"/>
    </row>
    <row r="17" spans="1:10" ht="12.75">
      <c r="A17" s="69"/>
      <c r="B17" s="69"/>
      <c r="C17" s="69"/>
      <c r="D17" s="69"/>
      <c r="E17" s="69"/>
      <c r="F17" s="69"/>
      <c r="G17" s="69"/>
      <c r="H17" s="153"/>
      <c r="I17" s="69"/>
      <c r="J17" s="69"/>
    </row>
    <row r="24" spans="1:10" ht="13.5" thickBot="1">
      <c r="A24" s="69"/>
      <c r="B24" s="69"/>
      <c r="C24" s="69"/>
      <c r="D24" s="69"/>
      <c r="E24" s="164" t="s">
        <v>227</v>
      </c>
      <c r="F24" s="69"/>
      <c r="G24" s="69"/>
      <c r="H24" s="153"/>
      <c r="I24" s="69"/>
      <c r="J24" s="69"/>
    </row>
    <row r="25" spans="1:10" ht="12.75">
      <c r="A25" s="69"/>
      <c r="B25" s="165" t="s">
        <v>208</v>
      </c>
      <c r="C25" s="160" t="s">
        <v>158</v>
      </c>
      <c r="D25" s="180">
        <v>2000</v>
      </c>
      <c r="E25" s="180">
        <v>0</v>
      </c>
      <c r="F25" s="181">
        <v>0</v>
      </c>
      <c r="G25" s="69"/>
      <c r="H25" s="153"/>
      <c r="I25" s="69"/>
      <c r="J25" s="69"/>
    </row>
    <row r="26" spans="1:10" ht="13.5" thickBot="1">
      <c r="A26" s="69"/>
      <c r="B26" s="169" t="s">
        <v>209</v>
      </c>
      <c r="C26" s="71" t="s">
        <v>158</v>
      </c>
      <c r="D26" s="185">
        <v>650</v>
      </c>
      <c r="E26" s="185">
        <v>650</v>
      </c>
      <c r="F26" s="186">
        <v>650</v>
      </c>
      <c r="G26" s="69"/>
      <c r="H26" s="153"/>
      <c r="I26" s="69"/>
      <c r="J26" s="69"/>
    </row>
    <row r="27" spans="1:10" ht="13.5" thickBot="1">
      <c r="A27" s="69"/>
      <c r="B27" s="182" t="s">
        <v>212</v>
      </c>
      <c r="C27" s="163" t="s">
        <v>158</v>
      </c>
      <c r="D27" s="187">
        <f>SUM(D25:D26)</f>
        <v>2650</v>
      </c>
      <c r="E27" s="187">
        <f>SUM(E25:E26)</f>
        <v>650</v>
      </c>
      <c r="F27" s="188">
        <f>SUM(F25:F26)</f>
        <v>650</v>
      </c>
      <c r="G27" s="69"/>
      <c r="H27" s="153"/>
      <c r="I27" s="69"/>
      <c r="J27" s="69"/>
    </row>
    <row r="28" spans="1:10" ht="13.5" thickBot="1">
      <c r="A28" s="69"/>
      <c r="B28" s="152"/>
      <c r="C28" s="69"/>
      <c r="D28" s="98" t="s">
        <v>213</v>
      </c>
      <c r="E28" s="98" t="s">
        <v>214</v>
      </c>
      <c r="F28" s="98" t="s">
        <v>215</v>
      </c>
      <c r="G28" s="69"/>
      <c r="H28" s="153"/>
      <c r="I28" s="69"/>
      <c r="J28" s="69"/>
    </row>
    <row r="29" spans="1:10" ht="13.5" thickBot="1">
      <c r="A29" s="69"/>
      <c r="B29" s="182" t="s">
        <v>210</v>
      </c>
      <c r="C29" s="163" t="s">
        <v>159</v>
      </c>
      <c r="D29" s="183">
        <v>4.7</v>
      </c>
      <c r="E29" s="183">
        <v>4.7</v>
      </c>
      <c r="F29" s="184">
        <v>4.7</v>
      </c>
      <c r="G29" s="69"/>
      <c r="H29" s="153"/>
      <c r="I29" s="69"/>
      <c r="J29" s="69"/>
    </row>
    <row r="30" spans="1:10" ht="13.5" hidden="1" thickBot="1">
      <c r="A30" s="69"/>
      <c r="B30" s="69"/>
      <c r="C30" s="69"/>
      <c r="D30" s="158">
        <f>3*E30*E30+4*(E30+F30+E30*F30)</f>
        <v>15</v>
      </c>
      <c r="E30" s="158">
        <f>E29/D29</f>
        <v>1</v>
      </c>
      <c r="F30" s="158">
        <f>F29/D29</f>
        <v>1</v>
      </c>
      <c r="G30" s="69"/>
      <c r="H30" s="153"/>
      <c r="I30" s="69"/>
      <c r="J30" s="69"/>
    </row>
    <row r="31" spans="1:10" ht="12.75">
      <c r="A31" s="69"/>
      <c r="B31" s="165" t="s">
        <v>217</v>
      </c>
      <c r="C31" s="160" t="s">
        <v>160</v>
      </c>
      <c r="D31" s="175">
        <f>D29*D29*((E30*F30^3/D30)/4*F27-(F30+E30)/D30*D27/2-(E30*E30*E30*(2*F30+E30)/D30/4*E27))</f>
        <v>-4381.183333333333</v>
      </c>
      <c r="E31" s="176" t="s">
        <v>211</v>
      </c>
      <c r="F31" s="177">
        <f>(E30/D30/4*D27-E30*E30*E30*(2+E30)/4/D30*E27-(F30*F30*F30*(1+E30)/2/D30*F27))*D29*D29</f>
        <v>-699.5166666666669</v>
      </c>
      <c r="G31" s="69"/>
      <c r="H31" s="153"/>
      <c r="I31" s="69"/>
      <c r="J31" s="69"/>
    </row>
    <row r="32" spans="1:10" ht="13.5" thickBot="1">
      <c r="A32" s="69"/>
      <c r="B32" s="171" t="s">
        <v>220</v>
      </c>
      <c r="C32" s="162" t="s">
        <v>160</v>
      </c>
      <c r="D32" s="178">
        <f>D31/2+D31*D31/2/D27/D29/D29+D27*D29*D29/8</f>
        <v>5290.670775681341</v>
      </c>
      <c r="E32" s="178">
        <f>F31+(D31-F31)/2+(D31-F31)^2/2/E27/E29/E29+E27/8*E29*E29</f>
        <v>-273.5289529914535</v>
      </c>
      <c r="F32" s="179">
        <f>F31/2+F31*F31/2/F27/F29/F29+F27*F29*F29/8</f>
        <v>1462.0936752136752</v>
      </c>
      <c r="G32" s="69"/>
      <c r="H32" s="153"/>
      <c r="I32" s="69"/>
      <c r="J32" s="69"/>
    </row>
    <row r="33" spans="1:10" ht="12.75">
      <c r="A33" s="69"/>
      <c r="B33" s="165" t="s">
        <v>216</v>
      </c>
      <c r="C33" s="161"/>
      <c r="D33" s="166">
        <f>D27*D29*D29/D31</f>
        <v>-13.361344537815127</v>
      </c>
      <c r="E33" s="167">
        <f>E27*E29*E29/D31</f>
        <v>-3.277310924369748</v>
      </c>
      <c r="F33" s="168">
        <f>F27*F29*F29/F31</f>
        <v>-20.526315789473678</v>
      </c>
      <c r="G33" s="69"/>
      <c r="H33" s="153"/>
      <c r="I33" s="69"/>
      <c r="J33" s="69"/>
    </row>
    <row r="34" spans="1:10" ht="12.75">
      <c r="A34" s="69"/>
      <c r="B34" s="169" t="s">
        <v>216</v>
      </c>
      <c r="C34" s="153"/>
      <c r="D34" s="154" t="s">
        <v>218</v>
      </c>
      <c r="E34" s="157">
        <f>E27*E29*E29/F31</f>
        <v>-20.526315789473678</v>
      </c>
      <c r="F34" s="170" t="s">
        <v>218</v>
      </c>
      <c r="G34" s="69"/>
      <c r="H34" s="153"/>
      <c r="I34" s="69"/>
      <c r="J34" s="69"/>
    </row>
    <row r="35" spans="1:10" ht="13.5" thickBot="1">
      <c r="A35" s="69"/>
      <c r="B35" s="171" t="s">
        <v>219</v>
      </c>
      <c r="C35" s="172"/>
      <c r="D35" s="173">
        <f>D27*D29*D29/D32</f>
        <v>11.064476033752321</v>
      </c>
      <c r="E35" s="173">
        <f>E27*E29*E29/E32</f>
        <v>-52.49352890422769</v>
      </c>
      <c r="F35" s="174">
        <f>F27*F29*F29/F32</f>
        <v>9.820506198347108</v>
      </c>
      <c r="G35" s="69"/>
      <c r="H35" s="153"/>
      <c r="I35" s="69"/>
      <c r="J35" s="69"/>
    </row>
    <row r="36" spans="1:10" ht="12.75">
      <c r="A36" s="69"/>
      <c r="B36" s="69"/>
      <c r="C36" s="69"/>
      <c r="D36" s="69"/>
      <c r="E36" s="69"/>
      <c r="F36" s="69"/>
      <c r="G36" s="69"/>
      <c r="H36" s="153"/>
      <c r="I36" s="69"/>
      <c r="J36" s="69"/>
    </row>
  </sheetData>
  <sheetProtection password="CC79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PII350</dc:creator>
  <cp:keywords/>
  <dc:description/>
  <cp:lastModifiedBy>Win</cp:lastModifiedBy>
  <cp:lastPrinted>2009-01-14T19:38:45Z</cp:lastPrinted>
  <dcterms:created xsi:type="dcterms:W3CDTF">2002-02-08T18:05:41Z</dcterms:created>
  <dcterms:modified xsi:type="dcterms:W3CDTF">2010-09-02T19:39:35Z</dcterms:modified>
  <cp:category/>
  <cp:version/>
  <cp:contentType/>
  <cp:contentStatus/>
</cp:coreProperties>
</file>