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8735" windowHeight="11700" activeTab="1"/>
  </bookViews>
  <sheets>
    <sheet name="PROGETTO" sheetId="1" r:id="rId1"/>
    <sheet name="VERIFICA 7.4.11,12e29" sheetId="2" r:id="rId2"/>
    <sheet name="Foglio3" sheetId="3" r:id="rId3"/>
  </sheets>
  <definedNames>
    <definedName name="_xlnm.Print_Area" localSheetId="0">PROGETTO!$A$1:$C$33</definedName>
    <definedName name="_xlnm.Print_Area" localSheetId="1">'VERIFICA 7.4.11,12e29'!$A$1:$C$38</definedName>
    <definedName name="Calcestruzzo">'VERIFICA 7.4.11,12e29'!$I$7:$I$14</definedName>
    <definedName name="fcd">'VERIFICA 7.4.11,12e29'!$I$7:$J$15</definedName>
    <definedName name="fck">'VERIFICA 7.4.11,12e29'!$I$7:$K$14</definedName>
    <definedName name="fyd">'VERIFICA 7.4.11,12e29'!$J$18:$J$27</definedName>
    <definedName name="fyk">'VERIFICA 7.4.11,12e29'!$I$18:$K$29</definedName>
    <definedName name="Tipo_acciaio">'VERIFICA 7.4.11,12e29'!$I$18:$K$29</definedName>
  </definedNames>
  <calcPr calcId="144525"/>
</workbook>
</file>

<file path=xl/calcChain.xml><?xml version="1.0" encoding="utf-8"?>
<calcChain xmlns="http://schemas.openxmlformats.org/spreadsheetml/2006/main">
  <c r="C22" i="1" l="1"/>
  <c r="C33" i="1"/>
  <c r="D32" i="1" l="1"/>
  <c r="C32" i="1" l="1"/>
  <c r="C17" i="1"/>
  <c r="C13" i="1"/>
  <c r="C26" i="1"/>
  <c r="C27" i="1" s="1"/>
  <c r="B26" i="2"/>
  <c r="B25" i="2"/>
  <c r="A1" i="2"/>
  <c r="C30" i="1" l="1"/>
  <c r="C18" i="2"/>
  <c r="C35" i="2" s="1"/>
  <c r="J18" i="2"/>
  <c r="J22" i="2"/>
  <c r="J21" i="2"/>
  <c r="J20" i="2"/>
  <c r="J19" i="2"/>
  <c r="C31" i="2"/>
  <c r="C20" i="2"/>
  <c r="C29" i="2"/>
  <c r="C30" i="2" s="1"/>
  <c r="C20" i="1"/>
  <c r="D20" i="1" s="1"/>
  <c r="D19" i="1"/>
  <c r="A1" i="1"/>
  <c r="C13" i="2"/>
  <c r="C34" i="2" s="1"/>
  <c r="C15" i="1"/>
  <c r="C8" i="1"/>
  <c r="O13" i="1"/>
  <c r="L13" i="1"/>
  <c r="O12" i="1"/>
  <c r="L12" i="1"/>
  <c r="O11" i="1"/>
  <c r="L11" i="1"/>
  <c r="O10" i="1"/>
  <c r="L10" i="1"/>
  <c r="O9" i="1"/>
  <c r="L9" i="1"/>
  <c r="L8" i="1"/>
  <c r="B16" i="2"/>
  <c r="B35" i="2" s="1"/>
  <c r="B8" i="2"/>
  <c r="B11" i="2"/>
  <c r="B34" i="2" s="1"/>
  <c r="C9" i="2"/>
  <c r="J12" i="2"/>
  <c r="J11" i="2"/>
  <c r="J10" i="2"/>
  <c r="C37" i="2" l="1"/>
  <c r="C23" i="2"/>
  <c r="C32" i="2"/>
  <c r="C36" i="2" s="1"/>
  <c r="C17" i="2"/>
  <c r="C16" i="1"/>
  <c r="C9" i="1"/>
  <c r="F8" i="1" s="1"/>
  <c r="A24" i="2"/>
  <c r="A10" i="2"/>
  <c r="A10" i="1"/>
  <c r="B18" i="1"/>
  <c r="B6" i="1"/>
  <c r="A6" i="1"/>
  <c r="C38" i="2" l="1"/>
  <c r="F15" i="1"/>
  <c r="C12" i="1"/>
  <c r="C14" i="2"/>
  <c r="F9" i="2"/>
  <c r="F17" i="2"/>
  <c r="C24" i="2" s="1"/>
  <c r="J9" i="2"/>
  <c r="J8" i="2"/>
  <c r="C11" i="1" s="1"/>
  <c r="J7" i="2"/>
  <c r="C12" i="2" s="1"/>
  <c r="C15" i="2" l="1"/>
  <c r="C25" i="2"/>
  <c r="C14" i="1"/>
  <c r="C18" i="1" l="1"/>
  <c r="C26" i="2"/>
</calcChain>
</file>

<file path=xl/sharedStrings.xml><?xml version="1.0" encoding="utf-8"?>
<sst xmlns="http://schemas.openxmlformats.org/spreadsheetml/2006/main" count="166" uniqueCount="97">
  <si>
    <t>Coefficiente parziale di resistenza</t>
  </si>
  <si>
    <r>
      <t>g</t>
    </r>
    <r>
      <rPr>
        <vertAlign val="subscript"/>
        <sz val="11"/>
        <color indexed="8"/>
        <rFont val="Calibri"/>
        <family val="2"/>
      </rPr>
      <t>Rd</t>
    </r>
  </si>
  <si>
    <t>Area dell'armatura inferiore della trave</t>
  </si>
  <si>
    <r>
      <t>f</t>
    </r>
    <r>
      <rPr>
        <vertAlign val="subscript"/>
        <sz val="11"/>
        <color theme="1"/>
        <rFont val="Calibri"/>
        <family val="2"/>
        <scheme val="minor"/>
      </rPr>
      <t>yd</t>
    </r>
  </si>
  <si>
    <r>
      <rPr>
        <sz val="11"/>
        <color theme="1"/>
        <rFont val="Symbol"/>
        <family val="1"/>
        <charset val="2"/>
      </rPr>
      <t>n</t>
    </r>
    <r>
      <rPr>
        <vertAlign val="subscript"/>
        <sz val="11"/>
        <color theme="1"/>
        <rFont val="Calibri"/>
        <family val="2"/>
        <scheme val="minor"/>
      </rPr>
      <t>d</t>
    </r>
  </si>
  <si>
    <t>N</t>
  </si>
  <si>
    <t>Ac</t>
  </si>
  <si>
    <r>
      <t>f</t>
    </r>
    <r>
      <rPr>
        <vertAlign val="subscript"/>
        <sz val="11"/>
        <color theme="1"/>
        <rFont val="Calibri"/>
        <family val="2"/>
        <scheme val="minor"/>
      </rPr>
      <t>cd</t>
    </r>
  </si>
  <si>
    <t>Resistenza di calcolo a compressione del calcestruzzo</t>
  </si>
  <si>
    <t>Area della sezione del calcestruzzo</t>
  </si>
  <si>
    <t>Forza assiale nel pilastro normalizzata</t>
  </si>
  <si>
    <t>Resistenza di calcolo dell'acciaio delle staffe</t>
  </si>
  <si>
    <r>
      <t>f</t>
    </r>
    <r>
      <rPr>
        <vertAlign val="subscript"/>
        <sz val="11"/>
        <color theme="1"/>
        <rFont val="Calibri"/>
        <family val="2"/>
        <scheme val="minor"/>
      </rPr>
      <t>ywd</t>
    </r>
  </si>
  <si>
    <r>
      <t>A</t>
    </r>
    <r>
      <rPr>
        <vertAlign val="subscript"/>
        <sz val="11"/>
        <color theme="1"/>
        <rFont val="Calibri"/>
        <family val="2"/>
        <scheme val="minor"/>
      </rPr>
      <t>sh</t>
    </r>
  </si>
  <si>
    <t>Area staffe orizzontali presenti nel nodo</t>
  </si>
  <si>
    <r>
      <t>A</t>
    </r>
    <r>
      <rPr>
        <vertAlign val="subscript"/>
        <sz val="11"/>
        <color theme="1"/>
        <rFont val="Calibri"/>
        <family val="2"/>
        <scheme val="minor"/>
      </rPr>
      <t xml:space="preserve">sh * </t>
    </r>
    <r>
      <rPr>
        <sz val="11"/>
        <color theme="1"/>
        <rFont val="Calibri"/>
        <family val="2"/>
        <scheme val="minor"/>
      </rPr>
      <t>f</t>
    </r>
    <r>
      <rPr>
        <vertAlign val="subscript"/>
        <sz val="11"/>
        <color theme="1"/>
        <rFont val="Calibri"/>
        <family val="2"/>
        <scheme val="minor"/>
      </rPr>
      <t>ywd</t>
    </r>
  </si>
  <si>
    <t>b</t>
  </si>
  <si>
    <t>h</t>
  </si>
  <si>
    <t>altezza sezione pilastro</t>
  </si>
  <si>
    <t>base sezione pilastro</t>
  </si>
  <si>
    <r>
      <t xml:space="preserve">Verifica nodi </t>
    </r>
    <r>
      <rPr>
        <b/>
        <sz val="11"/>
        <color theme="1"/>
        <rFont val="Calibri"/>
        <family val="2"/>
        <scheme val="minor"/>
      </rPr>
      <t>Interni</t>
    </r>
  </si>
  <si>
    <r>
      <t>Verifica nodi</t>
    </r>
    <r>
      <rPr>
        <b/>
        <sz val="11"/>
        <color theme="1"/>
        <rFont val="Calibri"/>
        <family val="2"/>
        <scheme val="minor"/>
      </rPr>
      <t xml:space="preserve"> Esterni</t>
    </r>
  </si>
  <si>
    <r>
      <t>As2</t>
    </r>
    <r>
      <rPr>
        <sz val="11"/>
        <color theme="1"/>
        <rFont val="Calibri"/>
        <family val="2"/>
        <scheme val="minor"/>
      </rPr>
      <t/>
    </r>
  </si>
  <si>
    <t>Classe di resistenza del calcestruzzo</t>
  </si>
  <si>
    <t>C20/25</t>
  </si>
  <si>
    <t>C25/30</t>
  </si>
  <si>
    <t>C28/35</t>
  </si>
  <si>
    <t xml:space="preserve">Resistenza di calcolo dell'acciaio </t>
  </si>
  <si>
    <t>Tipo di acciaio delle staffe</t>
  </si>
  <si>
    <t>C32/40</t>
  </si>
  <si>
    <t>C35/45</t>
  </si>
  <si>
    <t>C40/50</t>
  </si>
  <si>
    <t>Tipo Acciaio</t>
  </si>
  <si>
    <t>40mm &lt; = t</t>
  </si>
  <si>
    <t xml:space="preserve">Acciaio S235 </t>
  </si>
  <si>
    <t xml:space="preserve">Acciaio S275 </t>
  </si>
  <si>
    <t>Acciaio S355</t>
  </si>
  <si>
    <t xml:space="preserve">Acciaio S450 </t>
  </si>
  <si>
    <t>B450C</t>
  </si>
  <si>
    <t>fyk</t>
  </si>
  <si>
    <t>ftk</t>
  </si>
  <si>
    <t>4.6</t>
  </si>
  <si>
    <t>5.6</t>
  </si>
  <si>
    <t>6.8</t>
  </si>
  <si>
    <t>8.8</t>
  </si>
  <si>
    <t>10.9</t>
  </si>
  <si>
    <t>fyd/fyb</t>
  </si>
  <si>
    <t>Tipo di acciaio dell'armatura delle travi</t>
  </si>
  <si>
    <t>Bullone  4.6</t>
  </si>
  <si>
    <t>Bullone 5.6</t>
  </si>
  <si>
    <t>Bullone 6.8</t>
  </si>
  <si>
    <t>Bullone 8.8</t>
  </si>
  <si>
    <t>Bullone 10.9</t>
  </si>
  <si>
    <r>
      <t>f</t>
    </r>
    <r>
      <rPr>
        <vertAlign val="subscript"/>
        <sz val="11"/>
        <color theme="1"/>
        <rFont val="Calibri"/>
        <family val="2"/>
        <scheme val="minor"/>
      </rPr>
      <t>ck</t>
    </r>
  </si>
  <si>
    <t>Resistenza cilindrica del calcestruzzo</t>
  </si>
  <si>
    <t>Acciaio B450C</t>
  </si>
  <si>
    <t>f</t>
  </si>
  <si>
    <t>Diametro staffa singola</t>
  </si>
  <si>
    <t>n</t>
  </si>
  <si>
    <t>Numero staffe</t>
  </si>
  <si>
    <t>PROGETTO ARMATURA TRASVERSALE NECESSARIA</t>
  </si>
  <si>
    <r>
      <t>n</t>
    </r>
    <r>
      <rPr>
        <vertAlign val="subscript"/>
        <sz val="11"/>
        <color theme="1"/>
        <rFont val="Calibri"/>
        <family val="2"/>
        <scheme val="minor"/>
      </rPr>
      <t>st</t>
    </r>
  </si>
  <si>
    <t>i</t>
  </si>
  <si>
    <r>
      <t>(n</t>
    </r>
    <r>
      <rPr>
        <vertAlign val="sub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* A</t>
    </r>
    <r>
      <rPr>
        <vertAlign val="sub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>) / (i * b</t>
    </r>
    <r>
      <rPr>
        <vertAlign val="subscript"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>)</t>
    </r>
  </si>
  <si>
    <r>
      <t>0,05 * f</t>
    </r>
    <r>
      <rPr>
        <vertAlign val="subscript"/>
        <sz val="11"/>
        <color theme="1"/>
        <rFont val="Calibri"/>
        <family val="2"/>
        <scheme val="minor"/>
      </rPr>
      <t>ck</t>
    </r>
    <r>
      <rPr>
        <sz val="11"/>
        <color theme="1"/>
        <rFont val="Calibri"/>
        <family val="2"/>
        <scheme val="minor"/>
      </rPr>
      <t>/f</t>
    </r>
    <r>
      <rPr>
        <vertAlign val="subscript"/>
        <sz val="11"/>
        <color theme="1"/>
        <rFont val="Calibri"/>
        <family val="2"/>
        <scheme val="minor"/>
      </rPr>
      <t>yk</t>
    </r>
  </si>
  <si>
    <r>
      <t>b</t>
    </r>
    <r>
      <rPr>
        <vertAlign val="subscript"/>
        <sz val="11"/>
        <color theme="1"/>
        <rFont val="Calibri"/>
        <family val="2"/>
        <scheme val="minor"/>
      </rPr>
      <t>w</t>
    </r>
  </si>
  <si>
    <r>
      <t>b</t>
    </r>
    <r>
      <rPr>
        <vertAlign val="subscript"/>
        <sz val="11"/>
        <color theme="1"/>
        <rFont val="Calibri"/>
        <family val="2"/>
        <scheme val="minor"/>
      </rPr>
      <t>c</t>
    </r>
  </si>
  <si>
    <r>
      <t>b</t>
    </r>
    <r>
      <rPr>
        <vertAlign val="subscript"/>
        <sz val="11"/>
        <color theme="1"/>
        <rFont val="Calibri"/>
        <family val="2"/>
        <scheme val="minor"/>
      </rPr>
      <t>j</t>
    </r>
  </si>
  <si>
    <t xml:space="preserve"> </t>
  </si>
  <si>
    <t>VERIFICA (NTC 7.4.29)</t>
  </si>
  <si>
    <r>
      <t>A</t>
    </r>
    <r>
      <rPr>
        <vertAlign val="subscript"/>
        <sz val="11"/>
        <color theme="1"/>
        <rFont val="Calibri"/>
        <family val="2"/>
        <scheme val="minor"/>
      </rPr>
      <t>sw</t>
    </r>
    <r>
      <rPr>
        <sz val="11"/>
        <color theme="1"/>
        <rFont val="Calibri"/>
        <family val="2"/>
        <scheme val="minor"/>
      </rPr>
      <t>=</t>
    </r>
    <r>
      <rPr>
        <sz val="11"/>
        <color theme="1"/>
        <rFont val="Calibri"/>
        <family val="2"/>
      </rPr>
      <t>π * d²/4</t>
    </r>
  </si>
  <si>
    <t>Diametro della barra delle staffe</t>
  </si>
  <si>
    <t>Numero totale delle staffe nel nodo</t>
  </si>
  <si>
    <t>Altro</t>
  </si>
  <si>
    <t>Resistenza a snervamento dell'acciaio delle staffe</t>
  </si>
  <si>
    <r>
      <t>f</t>
    </r>
    <r>
      <rPr>
        <vertAlign val="subscript"/>
        <sz val="11"/>
        <color theme="1"/>
        <rFont val="Calibri"/>
        <family val="2"/>
        <scheme val="minor"/>
      </rPr>
      <t>yk</t>
    </r>
  </si>
  <si>
    <r>
      <t>(n</t>
    </r>
    <r>
      <rPr>
        <vertAlign val="sub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* A</t>
    </r>
    <r>
      <rPr>
        <vertAlign val="sub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>) / (i * b</t>
    </r>
    <r>
      <rPr>
        <vertAlign val="subscript"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 xml:space="preserve">) </t>
    </r>
    <r>
      <rPr>
        <sz val="11"/>
        <color theme="1"/>
        <rFont val="Calibri"/>
        <family val="2"/>
      </rPr>
      <t>≥ 0,05 * f</t>
    </r>
    <r>
      <rPr>
        <vertAlign val="subscript"/>
        <sz val="11"/>
        <color theme="1"/>
        <rFont val="Calibri"/>
        <family val="2"/>
      </rPr>
      <t>ck</t>
    </r>
    <r>
      <rPr>
        <sz val="11"/>
        <color theme="1"/>
        <rFont val="Calibri"/>
        <family val="2"/>
      </rPr>
      <t>/f</t>
    </r>
    <r>
      <rPr>
        <vertAlign val="subscript"/>
        <sz val="11"/>
        <color theme="1"/>
        <rFont val="Calibri"/>
        <family val="2"/>
      </rPr>
      <t>yk</t>
    </r>
  </si>
  <si>
    <t>Numero bracci per ogni staffa</t>
  </si>
  <si>
    <t>Larghezza della base della trave</t>
  </si>
  <si>
    <t>Larghezza della base del pilastro</t>
  </si>
  <si>
    <t>Larghezza utile del nodo</t>
  </si>
  <si>
    <t>Numero bracci staffe</t>
  </si>
  <si>
    <t>Interasse delle staffe</t>
  </si>
  <si>
    <t>Base sezione pilastro</t>
  </si>
  <si>
    <t>Altezza sezione pilastro</t>
  </si>
  <si>
    <t>Verifica limitazioni di armatura nodi trave-pilastro (NTC §7.4.6.2.3)</t>
  </si>
  <si>
    <t>Numero bracci staffa</t>
  </si>
  <si>
    <r>
      <t>A</t>
    </r>
    <r>
      <rPr>
        <vertAlign val="subscript"/>
        <sz val="11"/>
        <color theme="1"/>
        <rFont val="Calibri"/>
        <family val="2"/>
        <scheme val="minor"/>
      </rPr>
      <t>c</t>
    </r>
  </si>
  <si>
    <r>
      <t>A</t>
    </r>
    <r>
      <rPr>
        <vertAlign val="sub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>=(0,05*f</t>
    </r>
    <r>
      <rPr>
        <vertAlign val="subscript"/>
        <sz val="11"/>
        <color theme="1"/>
        <rFont val="Calibri"/>
        <family val="2"/>
        <scheme val="minor"/>
      </rPr>
      <t>ck</t>
    </r>
    <r>
      <rPr>
        <sz val="11"/>
        <color theme="1"/>
        <rFont val="Calibri"/>
        <family val="2"/>
        <scheme val="minor"/>
      </rPr>
      <t>*i*b</t>
    </r>
    <r>
      <rPr>
        <vertAlign val="subscript"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>)/(f</t>
    </r>
    <r>
      <rPr>
        <vertAlign val="subscript"/>
        <sz val="11"/>
        <color theme="1"/>
        <rFont val="Calibri"/>
        <family val="2"/>
        <scheme val="minor"/>
      </rPr>
      <t>yk</t>
    </r>
    <r>
      <rPr>
        <sz val="11"/>
        <color theme="1"/>
        <rFont val="Calibri"/>
        <family val="2"/>
        <scheme val="minor"/>
      </rPr>
      <t>*n</t>
    </r>
    <r>
      <rPr>
        <vertAlign val="sub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>)</t>
    </r>
  </si>
  <si>
    <t>Progetto armatura trasversale necessaria (NTC §7.4.6.2.3)</t>
  </si>
  <si>
    <t>vers. 27/01/2011</t>
  </si>
  <si>
    <t>Area della sezione della barra delle staffe</t>
  </si>
  <si>
    <r>
      <t>A</t>
    </r>
    <r>
      <rPr>
        <vertAlign val="subscript"/>
        <sz val="11"/>
        <color theme="1"/>
        <rFont val="Calibri"/>
        <family val="2"/>
        <scheme val="minor"/>
      </rPr>
      <t>st</t>
    </r>
  </si>
  <si>
    <t>fyd o fyb</t>
  </si>
  <si>
    <t>Area sezione staffa singolo braccio</t>
  </si>
  <si>
    <r>
      <t>As1</t>
    </r>
    <r>
      <rPr>
        <sz val="11"/>
        <color theme="1"/>
        <rFont val="Calibri"/>
        <family val="2"/>
        <scheme val="minor"/>
      </rPr>
      <t/>
    </r>
  </si>
  <si>
    <t>Area dell'armatura superiore della trave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</si>
</sst>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\ &quot;MPa&quot;"/>
    <numFmt numFmtId="165" formatCode="0.00\ &quot;cm2&quot;"/>
    <numFmt numFmtId="166" formatCode="0.00\ &quot;kN&quot;"/>
    <numFmt numFmtId="167" formatCode="0.00\ &quot;mm2&quot;"/>
    <numFmt numFmtId="168" formatCode="0.00\ &quot;kN/cm2&quot;"/>
    <numFmt numFmtId="169" formatCode="0.00\ &quot;cm&quot;"/>
    <numFmt numFmtId="170" formatCode="0\ &quot;MPa&quot;"/>
    <numFmt numFmtId="171" formatCode="0.00\ &quot;mm&quot;"/>
    <numFmt numFmtId="172" formatCode="0.0000"/>
    <numFmt numFmtId="173" formatCode="0.00\ &quot;cm²&quot;"/>
    <numFmt numFmtId="174" formatCode="0.00\ &quot;mm²&quot;"/>
  </numFmts>
  <fonts count="1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8"/>
      <name val="Symbol"/>
      <family val="1"/>
      <charset val="2"/>
    </font>
    <font>
      <vertAlign val="subscript"/>
      <sz val="11"/>
      <color indexed="8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4506668294322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6">
    <xf numFmtId="0" fontId="0" fillId="0" borderId="0" xfId="0"/>
    <xf numFmtId="0" fontId="0" fillId="3" borderId="0" xfId="0" applyFill="1"/>
    <xf numFmtId="0" fontId="2" fillId="0" borderId="2" xfId="0" applyFont="1" applyFill="1" applyBorder="1" applyAlignment="1" applyProtection="1">
      <alignment horizontal="center"/>
    </xf>
    <xf numFmtId="167" fontId="0" fillId="3" borderId="0" xfId="0" applyNumberFormat="1" applyFill="1"/>
    <xf numFmtId="168" fontId="0" fillId="3" borderId="0" xfId="0" applyNumberFormat="1" applyFill="1"/>
    <xf numFmtId="0" fontId="0" fillId="3" borderId="0" xfId="0" applyFill="1" applyAlignment="1">
      <alignment horizontal="center"/>
    </xf>
    <xf numFmtId="164" fontId="7" fillId="0" borderId="7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9" fillId="3" borderId="0" xfId="0" applyFont="1" applyFill="1"/>
    <xf numFmtId="0" fontId="0" fillId="0" borderId="2" xfId="0" applyFill="1" applyBorder="1" applyProtection="1"/>
    <xf numFmtId="0" fontId="0" fillId="0" borderId="2" xfId="0" applyFill="1" applyBorder="1" applyAlignment="1" applyProtection="1">
      <alignment horizontal="center"/>
    </xf>
    <xf numFmtId="0" fontId="0" fillId="3" borderId="0" xfId="0" applyFill="1"/>
    <xf numFmtId="0" fontId="0" fillId="0" borderId="2" xfId="0" applyFill="1" applyBorder="1" applyAlignment="1">
      <alignment horizontal="center"/>
    </xf>
    <xf numFmtId="0" fontId="0" fillId="0" borderId="6" xfId="0" applyFill="1" applyBorder="1"/>
    <xf numFmtId="0" fontId="0" fillId="0" borderId="0" xfId="0" applyFill="1" applyProtection="1"/>
    <xf numFmtId="0" fontId="0" fillId="0" borderId="2" xfId="0" applyFill="1" applyBorder="1" applyProtection="1"/>
    <xf numFmtId="0" fontId="0" fillId="0" borderId="10" xfId="0" applyFill="1" applyBorder="1" applyProtection="1"/>
    <xf numFmtId="2" fontId="0" fillId="0" borderId="2" xfId="0" applyNumberFormat="1" applyFill="1" applyBorder="1" applyProtection="1"/>
    <xf numFmtId="0" fontId="9" fillId="3" borderId="0" xfId="0" applyFont="1" applyFill="1" applyAlignment="1">
      <alignment horizontal="center"/>
    </xf>
    <xf numFmtId="170" fontId="7" fillId="0" borderId="7" xfId="0" applyNumberFormat="1" applyFont="1" applyFill="1" applyBorder="1" applyAlignment="1">
      <alignment horizontal="center"/>
    </xf>
    <xf numFmtId="0" fontId="0" fillId="0" borderId="0" xfId="0" applyFill="1" applyAlignment="1" applyProtection="1">
      <alignment horizontal="center"/>
    </xf>
    <xf numFmtId="1" fontId="0" fillId="0" borderId="2" xfId="0" applyNumberFormat="1" applyFill="1" applyBorder="1" applyProtection="1"/>
    <xf numFmtId="0" fontId="5" fillId="0" borderId="2" xfId="0" applyFont="1" applyFill="1" applyBorder="1" applyAlignment="1">
      <alignment horizontal="center"/>
    </xf>
    <xf numFmtId="169" fontId="0" fillId="3" borderId="0" xfId="0" applyNumberFormat="1" applyFill="1"/>
    <xf numFmtId="0" fontId="0" fillId="0" borderId="10" xfId="0" applyFill="1" applyBorder="1" applyAlignment="1">
      <alignment horizontal="center"/>
    </xf>
    <xf numFmtId="0" fontId="0" fillId="3" borderId="0" xfId="0" applyFill="1" applyAlignment="1"/>
    <xf numFmtId="0" fontId="12" fillId="3" borderId="0" xfId="0" applyFont="1" applyFill="1"/>
    <xf numFmtId="2" fontId="12" fillId="4" borderId="2" xfId="0" applyNumberFormat="1" applyFont="1" applyFill="1" applyBorder="1" applyAlignment="1" applyProtection="1">
      <alignment horizontal="center"/>
      <protection locked="0"/>
    </xf>
    <xf numFmtId="173" fontId="7" fillId="0" borderId="7" xfId="0" applyNumberFormat="1" applyFont="1" applyFill="1" applyBorder="1" applyAlignment="1">
      <alignment horizontal="center"/>
    </xf>
    <xf numFmtId="0" fontId="12" fillId="3" borderId="0" xfId="0" applyFont="1" applyFill="1" applyProtection="1">
      <protection locked="0"/>
    </xf>
    <xf numFmtId="1" fontId="12" fillId="4" borderId="2" xfId="0" applyNumberFormat="1" applyFont="1" applyFill="1" applyBorder="1" applyAlignment="1" applyProtection="1">
      <alignment horizontal="left"/>
      <protection locked="0"/>
    </xf>
    <xf numFmtId="173" fontId="12" fillId="5" borderId="7" xfId="0" applyNumberFormat="1" applyFont="1" applyFill="1" applyBorder="1" applyAlignment="1" applyProtection="1">
      <alignment horizontal="center"/>
      <protection locked="0"/>
    </xf>
    <xf numFmtId="166" fontId="12" fillId="5" borderId="7" xfId="0" applyNumberFormat="1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right"/>
    </xf>
    <xf numFmtId="0" fontId="0" fillId="0" borderId="10" xfId="0" applyFill="1" applyBorder="1" applyAlignment="1" applyProtection="1">
      <alignment horizontal="right"/>
    </xf>
    <xf numFmtId="2" fontId="12" fillId="4" borderId="2" xfId="0" applyNumberFormat="1" applyFont="1" applyFill="1" applyBorder="1" applyAlignment="1" applyProtection="1">
      <alignment horizontal="right"/>
      <protection locked="0"/>
    </xf>
    <xf numFmtId="2" fontId="12" fillId="5" borderId="7" xfId="0" applyNumberFormat="1" applyFont="1" applyFill="1" applyBorder="1" applyAlignment="1" applyProtection="1">
      <alignment horizontal="center"/>
      <protection locked="0"/>
    </xf>
    <xf numFmtId="171" fontId="12" fillId="5" borderId="7" xfId="0" applyNumberFormat="1" applyFont="1" applyFill="1" applyBorder="1" applyAlignment="1" applyProtection="1">
      <alignment horizontal="center"/>
      <protection locked="0"/>
    </xf>
    <xf numFmtId="1" fontId="12" fillId="5" borderId="7" xfId="0" applyNumberFormat="1" applyFont="1" applyFill="1" applyBorder="1" applyAlignment="1" applyProtection="1">
      <alignment horizontal="center"/>
      <protection locked="0"/>
    </xf>
    <xf numFmtId="0" fontId="12" fillId="0" borderId="7" xfId="0" applyFont="1" applyFill="1" applyBorder="1" applyAlignment="1">
      <alignment horizontal="center" vertical="center"/>
    </xf>
    <xf numFmtId="169" fontId="12" fillId="5" borderId="7" xfId="0" applyNumberFormat="1" applyFont="1" applyFill="1" applyBorder="1" applyAlignment="1" applyProtection="1">
      <alignment horizontal="center"/>
      <protection locked="0"/>
    </xf>
    <xf numFmtId="169" fontId="7" fillId="0" borderId="7" xfId="0" applyNumberFormat="1" applyFont="1" applyFill="1" applyBorder="1" applyAlignment="1">
      <alignment horizontal="center"/>
    </xf>
    <xf numFmtId="172" fontId="7" fillId="0" borderId="7" xfId="0" applyNumberFormat="1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2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0" fillId="0" borderId="16" xfId="0" applyFill="1" applyBorder="1" applyAlignment="1">
      <alignment horizontal="center"/>
    </xf>
    <xf numFmtId="169" fontId="12" fillId="5" borderId="17" xfId="0" applyNumberFormat="1" applyFont="1" applyFill="1" applyBorder="1" applyAlignment="1" applyProtection="1">
      <alignment horizontal="center"/>
      <protection locked="0"/>
    </xf>
    <xf numFmtId="173" fontId="0" fillId="3" borderId="0" xfId="0" applyNumberFormat="1" applyFont="1" applyFill="1" applyBorder="1" applyAlignment="1">
      <alignment horizontal="right" vertical="center"/>
    </xf>
    <xf numFmtId="1" fontId="14" fillId="0" borderId="7" xfId="0" applyNumberFormat="1" applyFont="1" applyFill="1" applyBorder="1" applyAlignment="1">
      <alignment horizontal="center"/>
    </xf>
    <xf numFmtId="169" fontId="12" fillId="5" borderId="17" xfId="0" applyNumberFormat="1" applyFont="1" applyFill="1" applyBorder="1" applyAlignment="1" applyProtection="1">
      <alignment horizontal="center" vertical="center"/>
      <protection locked="0"/>
    </xf>
    <xf numFmtId="169" fontId="12" fillId="5" borderId="7" xfId="0" applyNumberFormat="1" applyFont="1" applyFill="1" applyBorder="1" applyAlignment="1" applyProtection="1">
      <alignment horizontal="center" vertical="center"/>
      <protection locked="0"/>
    </xf>
    <xf numFmtId="165" fontId="8" fillId="0" borderId="7" xfId="0" applyNumberFormat="1" applyFont="1" applyFill="1" applyBorder="1" applyAlignment="1" applyProtection="1">
      <alignment horizontal="center"/>
      <protection locked="0"/>
    </xf>
    <xf numFmtId="0" fontId="7" fillId="0" borderId="7" xfId="0" applyFont="1" applyFill="1" applyBorder="1" applyAlignment="1">
      <alignment horizontal="center"/>
    </xf>
    <xf numFmtId="164" fontId="7" fillId="0" borderId="7" xfId="0" applyNumberFormat="1" applyFont="1" applyFill="1" applyBorder="1" applyAlignment="1" applyProtection="1">
      <alignment horizontal="center"/>
    </xf>
    <xf numFmtId="173" fontId="7" fillId="0" borderId="7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174" fontId="7" fillId="0" borderId="7" xfId="0" applyNumberFormat="1" applyFont="1" applyFill="1" applyBorder="1" applyAlignment="1">
      <alignment horizontal="center"/>
    </xf>
    <xf numFmtId="0" fontId="0" fillId="0" borderId="21" xfId="0" applyFill="1" applyBorder="1"/>
    <xf numFmtId="0" fontId="0" fillId="0" borderId="12" xfId="0" applyFill="1" applyBorder="1"/>
    <xf numFmtId="2" fontId="7" fillId="6" borderId="14" xfId="0" applyNumberFormat="1" applyFont="1" applyFill="1" applyBorder="1" applyAlignment="1">
      <alignment horizontal="center"/>
    </xf>
    <xf numFmtId="169" fontId="12" fillId="5" borderId="22" xfId="1" applyNumberFormat="1" applyFont="1" applyFill="1" applyBorder="1" applyAlignment="1" applyProtection="1">
      <alignment horizontal="center"/>
      <protection locked="0"/>
    </xf>
    <xf numFmtId="169" fontId="12" fillId="5" borderId="7" xfId="1" applyNumberFormat="1" applyFont="1" applyFill="1" applyBorder="1" applyAlignment="1" applyProtection="1">
      <alignment horizontal="center"/>
      <protection locked="0"/>
    </xf>
    <xf numFmtId="0" fontId="0" fillId="3" borderId="0" xfId="0" applyFill="1" applyProtection="1">
      <protection locked="0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0" fillId="0" borderId="8" xfId="0" applyFill="1" applyBorder="1" applyAlignment="1" applyProtection="1">
      <alignment horizontal="center"/>
    </xf>
    <xf numFmtId="0" fontId="0" fillId="0" borderId="9" xfId="0" applyFill="1" applyBorder="1" applyAlignment="1" applyProtection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2" fontId="7" fillId="0" borderId="8" xfId="0" applyNumberFormat="1" applyFont="1" applyFill="1" applyBorder="1" applyAlignment="1">
      <alignment horizontal="center"/>
    </xf>
    <xf numFmtId="2" fontId="7" fillId="0" borderId="11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</cellXfs>
  <cellStyles count="2">
    <cellStyle name="Input" xfId="1" builtinId="20"/>
    <cellStyle name="Normale" xfId="0" builtinId="0"/>
  </cellStyles>
  <dxfs count="8">
    <dxf>
      <font>
        <color auto="1"/>
      </font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4" dropStyle="combo" dx="16" fmlaLink="D12" fmlaRange="Calcestruzzo" sel="2" val="0"/>
</file>

<file path=xl/ctrlProps/ctrlProp2.xml><?xml version="1.0" encoding="utf-8"?>
<formControlPr xmlns="http://schemas.microsoft.com/office/spreadsheetml/2009/9/main" objectType="Drop" dropLines="2" dropStyle="combo" dx="16" fmlaLink="D2" fmlaRange="$I$2:$I$3" val="0"/>
</file>

<file path=xl/ctrlProps/ctrlProp3.xml><?xml version="1.0" encoding="utf-8"?>
<formControlPr xmlns="http://schemas.microsoft.com/office/spreadsheetml/2009/9/main" objectType="Drop" dropLines="4" dropStyle="combo" dx="16" fmlaLink="D8" fmlaRange="Tipo_acciaio" val="0"/>
</file>

<file path=xl/ctrlProps/ctrlProp4.xml><?xml version="1.0" encoding="utf-8"?>
<formControlPr xmlns="http://schemas.microsoft.com/office/spreadsheetml/2009/9/main" objectType="Drop" dropLines="4" dropStyle="combo" dx="16" fmlaLink="D15" fmlaRange="Tipo_acciaio" val="0"/>
</file>

<file path=xl/ctrlProps/ctrlProp5.xml><?xml version="1.0" encoding="utf-8"?>
<formControlPr xmlns="http://schemas.microsoft.com/office/spreadsheetml/2009/9/main" objectType="Drop" dropLines="4" dropStyle="combo" dx="16" fmlaLink="D12" fmlaRange="Calcestruzzo" sel="2" val="0"/>
</file>

<file path=xl/ctrlProps/ctrlProp6.xml><?xml version="1.0" encoding="utf-8"?>
<formControlPr xmlns="http://schemas.microsoft.com/office/spreadsheetml/2009/9/main" objectType="Drop" dropLines="4" dropStyle="combo" dx="16" fmlaLink="D2" fmlaRange="'VERIFICA 7.4.11,12e29'!$I$2:$I$3" sel="2" val="0"/>
</file>

<file path=xl/ctrlProps/ctrlProp7.xml><?xml version="1.0" encoding="utf-8"?>
<formControlPr xmlns="http://schemas.microsoft.com/office/spreadsheetml/2009/9/main" objectType="Drop" dropLines="5" dropStyle="combo" dx="16" fmlaLink="D9" fmlaRange="$I$18:$I$29" val="0"/>
</file>

<file path=xl/ctrlProps/ctrlProp8.xml><?xml version="1.0" encoding="utf-8"?>
<formControlPr xmlns="http://schemas.microsoft.com/office/spreadsheetml/2009/9/main" objectType="Drop" dropLines="5" dropStyle="combo" dx="16" fmlaLink="D17" fmlaRange="$I$18:$I$29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11</xdr:row>
          <xdr:rowOff>0</xdr:rowOff>
        </xdr:from>
        <xdr:to>
          <xdr:col>4</xdr:col>
          <xdr:colOff>209550</xdr:colOff>
          <xdr:row>12</xdr:row>
          <xdr:rowOff>47625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0</xdr:row>
          <xdr:rowOff>47625</xdr:rowOff>
        </xdr:from>
        <xdr:to>
          <xdr:col>4</xdr:col>
          <xdr:colOff>552450</xdr:colOff>
          <xdr:row>2</xdr:row>
          <xdr:rowOff>47625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6</xdr:row>
          <xdr:rowOff>180975</xdr:rowOff>
        </xdr:from>
        <xdr:to>
          <xdr:col>4</xdr:col>
          <xdr:colOff>209550</xdr:colOff>
          <xdr:row>8</xdr:row>
          <xdr:rowOff>38100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13</xdr:row>
          <xdr:rowOff>200025</xdr:rowOff>
        </xdr:from>
        <xdr:to>
          <xdr:col>4</xdr:col>
          <xdr:colOff>209550</xdr:colOff>
          <xdr:row>15</xdr:row>
          <xdr:rowOff>19050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11</xdr:row>
          <xdr:rowOff>0</xdr:rowOff>
        </xdr:from>
        <xdr:to>
          <xdr:col>4</xdr:col>
          <xdr:colOff>219075</xdr:colOff>
          <xdr:row>12</xdr:row>
          <xdr:rowOff>9525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0</xdr:row>
          <xdr:rowOff>47625</xdr:rowOff>
        </xdr:from>
        <xdr:to>
          <xdr:col>4</xdr:col>
          <xdr:colOff>523875</xdr:colOff>
          <xdr:row>2</xdr:row>
          <xdr:rowOff>28575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8</xdr:row>
          <xdr:rowOff>0</xdr:rowOff>
        </xdr:from>
        <xdr:to>
          <xdr:col>4</xdr:col>
          <xdr:colOff>209550</xdr:colOff>
          <xdr:row>9</xdr:row>
          <xdr:rowOff>9525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16</xdr:row>
          <xdr:rowOff>0</xdr:rowOff>
        </xdr:from>
        <xdr:to>
          <xdr:col>4</xdr:col>
          <xdr:colOff>209550</xdr:colOff>
          <xdr:row>17</xdr:row>
          <xdr:rowOff>9525</xdr:rowOff>
        </xdr:to>
        <xdr:sp macro="" textlink="">
          <xdr:nvSpPr>
            <xdr:cNvPr id="2055" name="Drop Dow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4"/>
  <sheetViews>
    <sheetView topLeftCell="A7" workbookViewId="0">
      <selection activeCell="C22" sqref="C22"/>
    </sheetView>
  </sheetViews>
  <sheetFormatPr defaultRowHeight="15" x14ac:dyDescent="0.25"/>
  <cols>
    <col min="1" max="1" width="51.5703125" style="1" bestFit="1" customWidth="1"/>
    <col min="2" max="2" width="41.140625" style="26" bestFit="1" customWidth="1"/>
    <col min="3" max="3" width="13.140625" style="5" bestFit="1" customWidth="1"/>
    <col min="4" max="4" width="12.85546875" style="1" bestFit="1" customWidth="1"/>
    <col min="5" max="5" width="9.140625" style="1"/>
    <col min="6" max="6" width="12.85546875" style="1" bestFit="1" customWidth="1"/>
    <col min="7" max="13" width="9.140625" style="1"/>
    <col min="14" max="14" width="12.140625" style="1" bestFit="1" customWidth="1"/>
    <col min="15" max="16384" width="9.140625" style="1"/>
  </cols>
  <sheetData>
    <row r="1" spans="1:17" ht="15" customHeight="1" x14ac:dyDescent="0.25">
      <c r="A1" s="65" t="str">
        <f>IF(D2=1,"Progetto armatura trasversale per nodi interni (§7.4.4.3.1 NTC)","Progetto armatura trasversale per nodi esterni (§7.4.4.3.1 NTC)")</f>
        <v>Progetto armatura trasversale per nodi interni (§7.4.4.3.1 NTC)</v>
      </c>
      <c r="B1" s="66"/>
      <c r="C1" s="67"/>
      <c r="G1" s="12" t="s">
        <v>90</v>
      </c>
    </row>
    <row r="2" spans="1:17" ht="15" customHeight="1" thickBot="1" x14ac:dyDescent="0.3">
      <c r="A2" s="68"/>
      <c r="B2" s="69"/>
      <c r="C2" s="70"/>
      <c r="D2" s="64">
        <v>1</v>
      </c>
      <c r="I2" s="1" t="s">
        <v>20</v>
      </c>
    </row>
    <row r="3" spans="1:17" x14ac:dyDescent="0.25">
      <c r="A3" s="46" t="s">
        <v>19</v>
      </c>
      <c r="B3" s="47" t="s">
        <v>16</v>
      </c>
      <c r="C3" s="51">
        <v>30</v>
      </c>
      <c r="I3" s="1" t="s">
        <v>21</v>
      </c>
    </row>
    <row r="4" spans="1:17" x14ac:dyDescent="0.25">
      <c r="A4" s="14" t="s">
        <v>18</v>
      </c>
      <c r="B4" s="13" t="s">
        <v>17</v>
      </c>
      <c r="C4" s="52">
        <v>30</v>
      </c>
    </row>
    <row r="5" spans="1:17" ht="18" x14ac:dyDescent="0.35">
      <c r="A5" s="14" t="s">
        <v>0</v>
      </c>
      <c r="B5" s="2" t="s">
        <v>1</v>
      </c>
      <c r="C5" s="37">
        <v>1.2</v>
      </c>
    </row>
    <row r="6" spans="1:17" x14ac:dyDescent="0.25">
      <c r="A6" s="14" t="str">
        <f>IF(D2=1,"Area dell'armatura superiore della trave","")</f>
        <v>Area dell'armatura superiore della trave</v>
      </c>
      <c r="B6" s="13" t="str">
        <f>IF(D2=1,"As1","")</f>
        <v>As1</v>
      </c>
      <c r="C6" s="53">
        <v>3</v>
      </c>
    </row>
    <row r="7" spans="1:17" x14ac:dyDescent="0.25">
      <c r="A7" s="14" t="s">
        <v>2</v>
      </c>
      <c r="B7" s="13" t="s">
        <v>22</v>
      </c>
      <c r="C7" s="32">
        <v>8</v>
      </c>
      <c r="D7" s="3"/>
      <c r="K7" s="12"/>
      <c r="L7" s="12"/>
      <c r="M7" s="12"/>
      <c r="N7" s="12"/>
      <c r="O7" s="12"/>
      <c r="P7" s="71" t="s">
        <v>33</v>
      </c>
      <c r="Q7" s="72"/>
    </row>
    <row r="8" spans="1:17" x14ac:dyDescent="0.25">
      <c r="A8" s="14" t="s">
        <v>47</v>
      </c>
      <c r="B8" s="13"/>
      <c r="C8" s="54" t="str">
        <f>INDEX(Tipo_acciaio,D8,1)</f>
        <v>Acciaio B450C</v>
      </c>
      <c r="D8" s="64">
        <v>1</v>
      </c>
      <c r="F8" s="4">
        <f>C9*0.1</f>
        <v>39.130434782608702</v>
      </c>
      <c r="K8" s="16" t="s">
        <v>24</v>
      </c>
      <c r="L8" s="18">
        <f>0.85*20/1.5</f>
        <v>11.333333333333334</v>
      </c>
      <c r="M8" s="12"/>
      <c r="N8" s="15" t="s">
        <v>32</v>
      </c>
      <c r="O8" s="11" t="s">
        <v>46</v>
      </c>
      <c r="P8" s="11" t="s">
        <v>39</v>
      </c>
      <c r="Q8" s="11" t="s">
        <v>40</v>
      </c>
    </row>
    <row r="9" spans="1:17" ht="18" x14ac:dyDescent="0.35">
      <c r="A9" s="14" t="s">
        <v>27</v>
      </c>
      <c r="B9" s="13" t="s">
        <v>3</v>
      </c>
      <c r="C9" s="6">
        <f>INDEX(Tipo_acciaio,D8,2)</f>
        <v>391.304347826087</v>
      </c>
      <c r="K9" s="16" t="s">
        <v>25</v>
      </c>
      <c r="L9" s="18">
        <f>0.85*25/1.5</f>
        <v>14.166666666666666</v>
      </c>
      <c r="M9" s="12"/>
      <c r="N9" s="16" t="s">
        <v>34</v>
      </c>
      <c r="O9" s="18">
        <f>P9/1.15</f>
        <v>204.34782608695653</v>
      </c>
      <c r="P9" s="16">
        <v>235</v>
      </c>
      <c r="Q9" s="16">
        <v>360</v>
      </c>
    </row>
    <row r="10" spans="1:17" x14ac:dyDescent="0.25">
      <c r="A10" s="14" t="str">
        <f>"Forza assiale nel pilastro"&amp;IF($D$2=1," superiore al nodo"," sottostante")</f>
        <v>Forza assiale nel pilastro superiore al nodo</v>
      </c>
      <c r="B10" s="13" t="s">
        <v>5</v>
      </c>
      <c r="C10" s="33">
        <v>10</v>
      </c>
      <c r="K10" s="16" t="s">
        <v>26</v>
      </c>
      <c r="L10" s="18">
        <f>0.85*28/1.5</f>
        <v>15.866666666666667</v>
      </c>
      <c r="M10" s="12"/>
      <c r="N10" s="16" t="s">
        <v>35</v>
      </c>
      <c r="O10" s="18">
        <f t="shared" ref="O10:O13" si="0">P10/1.15</f>
        <v>239.13043478260872</v>
      </c>
      <c r="P10" s="16">
        <v>275</v>
      </c>
      <c r="Q10" s="16">
        <v>430</v>
      </c>
    </row>
    <row r="11" spans="1:17" ht="18" x14ac:dyDescent="0.35">
      <c r="A11" s="14" t="s">
        <v>8</v>
      </c>
      <c r="B11" s="13" t="s">
        <v>7</v>
      </c>
      <c r="C11" s="55">
        <f>INDEX(fcd,D12,2)</f>
        <v>14.166666666666666</v>
      </c>
      <c r="K11" s="16" t="s">
        <v>29</v>
      </c>
      <c r="L11" s="18">
        <f>0.85*32/1.5</f>
        <v>18.133333333333333</v>
      </c>
      <c r="M11" s="12"/>
      <c r="N11" s="16" t="s">
        <v>36</v>
      </c>
      <c r="O11" s="18">
        <f t="shared" si="0"/>
        <v>308.69565217391306</v>
      </c>
      <c r="P11" s="16">
        <v>355</v>
      </c>
      <c r="Q11" s="16">
        <v>510</v>
      </c>
    </row>
    <row r="12" spans="1:17" x14ac:dyDescent="0.25">
      <c r="A12" s="14" t="s">
        <v>9</v>
      </c>
      <c r="B12" s="13" t="s">
        <v>6</v>
      </c>
      <c r="C12" s="56">
        <f>C3*C4</f>
        <v>900</v>
      </c>
      <c r="D12" s="64">
        <v>2</v>
      </c>
      <c r="E12" s="27"/>
      <c r="K12" s="16" t="s">
        <v>30</v>
      </c>
      <c r="L12" s="18">
        <f>0.85*35/1.5</f>
        <v>19.833333333333332</v>
      </c>
      <c r="M12" s="12"/>
      <c r="N12" s="17" t="s">
        <v>37</v>
      </c>
      <c r="O12" s="18">
        <f t="shared" si="0"/>
        <v>365.21739130434787</v>
      </c>
      <c r="P12" s="17">
        <v>420</v>
      </c>
      <c r="Q12" s="17">
        <v>550</v>
      </c>
    </row>
    <row r="13" spans="1:17" ht="18" x14ac:dyDescent="0.35">
      <c r="A13" s="14" t="s">
        <v>54</v>
      </c>
      <c r="B13" s="13" t="s">
        <v>53</v>
      </c>
      <c r="C13" s="20">
        <f>INDEX(fck,D12,3)</f>
        <v>25</v>
      </c>
      <c r="K13" s="16" t="s">
        <v>31</v>
      </c>
      <c r="L13" s="18">
        <f>0.85*40/1.5</f>
        <v>22.666666666666668</v>
      </c>
      <c r="M13" s="12"/>
      <c r="N13" s="16" t="s">
        <v>38</v>
      </c>
      <c r="O13" s="18">
        <f t="shared" si="0"/>
        <v>391.304347826087</v>
      </c>
      <c r="P13" s="16">
        <v>450</v>
      </c>
      <c r="Q13" s="16"/>
    </row>
    <row r="14" spans="1:17" ht="18" x14ac:dyDescent="0.35">
      <c r="A14" s="14" t="s">
        <v>10</v>
      </c>
      <c r="B14" s="13" t="s">
        <v>4</v>
      </c>
      <c r="C14" s="7">
        <f>C10/(C11*0.1*C12)</f>
        <v>7.8431372549019607E-3</v>
      </c>
      <c r="K14" s="16"/>
      <c r="L14" s="18"/>
      <c r="M14" s="12"/>
      <c r="N14" s="16" t="s">
        <v>41</v>
      </c>
      <c r="O14" s="16">
        <v>240</v>
      </c>
      <c r="P14" s="16">
        <v>400</v>
      </c>
      <c r="Q14" s="16"/>
    </row>
    <row r="15" spans="1:17" x14ac:dyDescent="0.25">
      <c r="A15" s="14" t="s">
        <v>28</v>
      </c>
      <c r="B15" s="13"/>
      <c r="C15" s="7" t="str">
        <f>INDEX(Tipo_acciaio,D15,1)</f>
        <v>Acciaio B450C</v>
      </c>
      <c r="D15" s="64">
        <v>1</v>
      </c>
      <c r="F15" s="4">
        <f>C16*0.1</f>
        <v>39.130434782608702</v>
      </c>
      <c r="K15" s="12"/>
      <c r="L15" s="12"/>
      <c r="M15" s="12"/>
      <c r="N15" s="16" t="s">
        <v>42</v>
      </c>
      <c r="O15" s="16">
        <v>300</v>
      </c>
      <c r="P15" s="16">
        <v>500</v>
      </c>
      <c r="Q15" s="16"/>
    </row>
    <row r="16" spans="1:17" ht="18" x14ac:dyDescent="0.35">
      <c r="A16" s="14" t="s">
        <v>11</v>
      </c>
      <c r="B16" s="13" t="s">
        <v>12</v>
      </c>
      <c r="C16" s="55">
        <f>INDEX(Tipo_acciaio,D15,2)</f>
        <v>391.304347826087</v>
      </c>
      <c r="K16" s="12"/>
      <c r="L16" s="12"/>
      <c r="M16" s="12"/>
      <c r="N16" s="16" t="s">
        <v>43</v>
      </c>
      <c r="O16" s="16">
        <v>480</v>
      </c>
      <c r="P16" s="16">
        <v>600</v>
      </c>
      <c r="Q16" s="16"/>
    </row>
    <row r="17" spans="1:17" ht="18" x14ac:dyDescent="0.35">
      <c r="A17" s="14" t="s">
        <v>74</v>
      </c>
      <c r="B17" s="13" t="s">
        <v>75</v>
      </c>
      <c r="C17" s="6">
        <f>INDEX(Tipo_acciaio,D15,3)</f>
        <v>450</v>
      </c>
      <c r="K17" s="12"/>
      <c r="L17" s="12"/>
      <c r="M17" s="12"/>
      <c r="N17" s="16" t="s">
        <v>44</v>
      </c>
      <c r="O17" s="16">
        <v>649</v>
      </c>
      <c r="P17" s="16">
        <v>800</v>
      </c>
      <c r="Q17" s="16"/>
    </row>
    <row r="18" spans="1:17" ht="15.75" x14ac:dyDescent="0.25">
      <c r="A18" s="57" t="s">
        <v>60</v>
      </c>
      <c r="B18" s="8" t="str">
        <f>IF($D$2=1,"Ash = γRd * (As1+As2) * fyd * (1-0,8 νd)/fywd","Ash = γRd * As2 * fyd * (1-0,8 νd)/fywd")</f>
        <v>Ash = γRd * (As1+As2) * fyd * (1-0,8 νd)/fywd</v>
      </c>
      <c r="C18" s="56">
        <f>IF($D$2=1,C5*(C6+C7)*F8*(1-0.8*C14)/F15,C5*C7*F8*(1-0.8*C14)/F15)</f>
        <v>13.117176470588234</v>
      </c>
      <c r="K18" s="12"/>
      <c r="L18" s="12"/>
      <c r="M18" s="12"/>
      <c r="N18" s="16" t="s">
        <v>45</v>
      </c>
      <c r="O18" s="16">
        <v>900</v>
      </c>
      <c r="P18" s="16">
        <v>1000</v>
      </c>
      <c r="Q18" s="16"/>
    </row>
    <row r="19" spans="1:17" x14ac:dyDescent="0.25">
      <c r="A19" s="14" t="s">
        <v>57</v>
      </c>
      <c r="B19" s="23" t="s">
        <v>56</v>
      </c>
      <c r="C19" s="38">
        <v>8</v>
      </c>
      <c r="D19" s="24">
        <f>C19*0.1</f>
        <v>0.8</v>
      </c>
    </row>
    <row r="20" spans="1:17" ht="18" x14ac:dyDescent="0.35">
      <c r="A20" s="14" t="s">
        <v>91</v>
      </c>
      <c r="B20" s="13" t="s">
        <v>70</v>
      </c>
      <c r="C20" s="58">
        <f>PI()*C19^2/4</f>
        <v>50.26548245743669</v>
      </c>
      <c r="D20" s="49">
        <f>C20*0.01</f>
        <v>0.50265482457436694</v>
      </c>
    </row>
    <row r="21" spans="1:17" ht="18" x14ac:dyDescent="0.35">
      <c r="A21" s="14" t="s">
        <v>86</v>
      </c>
      <c r="B21" s="13" t="s">
        <v>61</v>
      </c>
      <c r="C21" s="39">
        <v>2</v>
      </c>
    </row>
    <row r="22" spans="1:17" ht="15.75" thickBot="1" x14ac:dyDescent="0.3">
      <c r="A22" s="59" t="s">
        <v>59</v>
      </c>
      <c r="B22" s="25" t="s">
        <v>58</v>
      </c>
      <c r="C22" s="61">
        <f>(C18/C21)/(D20)</f>
        <v>13.047896716892618</v>
      </c>
    </row>
    <row r="23" spans="1:17" x14ac:dyDescent="0.25">
      <c r="A23" s="65" t="s">
        <v>89</v>
      </c>
      <c r="B23" s="66"/>
      <c r="C23" s="67"/>
    </row>
    <row r="24" spans="1:17" ht="15.75" thickBot="1" x14ac:dyDescent="0.3">
      <c r="A24" s="68" t="s">
        <v>78</v>
      </c>
      <c r="B24" s="69" t="s">
        <v>65</v>
      </c>
      <c r="C24" s="70">
        <v>30</v>
      </c>
    </row>
    <row r="25" spans="1:17" ht="18" x14ac:dyDescent="0.35">
      <c r="A25" s="46" t="s">
        <v>78</v>
      </c>
      <c r="B25" s="47" t="s">
        <v>65</v>
      </c>
      <c r="C25" s="48">
        <v>30</v>
      </c>
    </row>
    <row r="26" spans="1:17" ht="18" x14ac:dyDescent="0.35">
      <c r="A26" s="14" t="s">
        <v>79</v>
      </c>
      <c r="B26" s="13" t="s">
        <v>66</v>
      </c>
      <c r="C26" s="42">
        <f>C4</f>
        <v>30</v>
      </c>
    </row>
    <row r="27" spans="1:17" ht="18" x14ac:dyDescent="0.35">
      <c r="A27" s="14" t="s">
        <v>80</v>
      </c>
      <c r="B27" s="13" t="s">
        <v>67</v>
      </c>
      <c r="C27" s="42">
        <f>IF(C25&gt;C26,MIN(C25,C26+C3/2),MIN(C26,C25+C3/2))</f>
        <v>30</v>
      </c>
    </row>
    <row r="28" spans="1:17" ht="18" x14ac:dyDescent="0.35">
      <c r="A28" s="14" t="s">
        <v>81</v>
      </c>
      <c r="B28" s="13" t="s">
        <v>61</v>
      </c>
      <c r="C28" s="39">
        <v>2</v>
      </c>
    </row>
    <row r="29" spans="1:17" x14ac:dyDescent="0.25">
      <c r="A29" s="14" t="s">
        <v>82</v>
      </c>
      <c r="B29" s="13" t="s">
        <v>62</v>
      </c>
      <c r="C29" s="41">
        <v>10</v>
      </c>
    </row>
    <row r="30" spans="1:17" ht="18" x14ac:dyDescent="0.35">
      <c r="A30" s="14" t="s">
        <v>91</v>
      </c>
      <c r="B30" s="13" t="s">
        <v>88</v>
      </c>
      <c r="C30" s="56">
        <f>0.05*C13*C29*C27/C17*C28</f>
        <v>1.6666666666666667</v>
      </c>
    </row>
    <row r="31" spans="1:17" x14ac:dyDescent="0.25">
      <c r="A31" s="14" t="s">
        <v>57</v>
      </c>
      <c r="B31" s="23" t="s">
        <v>56</v>
      </c>
      <c r="C31" s="38">
        <v>8</v>
      </c>
    </row>
    <row r="32" spans="1:17" ht="18" x14ac:dyDescent="0.35">
      <c r="A32" s="14" t="s">
        <v>94</v>
      </c>
      <c r="B32" s="13" t="s">
        <v>70</v>
      </c>
      <c r="C32" s="58">
        <f>PI()*C31^2/4</f>
        <v>50.26548245743669</v>
      </c>
      <c r="D32" s="49">
        <f>C32*0.01</f>
        <v>0.50265482457436694</v>
      </c>
    </row>
    <row r="33" spans="1:3" ht="15.75" thickBot="1" x14ac:dyDescent="0.3">
      <c r="A33" s="60" t="s">
        <v>59</v>
      </c>
      <c r="B33" s="44" t="s">
        <v>58</v>
      </c>
      <c r="C33" s="61">
        <f>(C30/D32)/(C28)</f>
        <v>1.6578639905405763</v>
      </c>
    </row>
    <row r="34" spans="1:3" x14ac:dyDescent="0.25">
      <c r="A34" s="12"/>
    </row>
  </sheetData>
  <sheetProtection password="CC79" sheet="1" objects="1" scenarios="1"/>
  <mergeCells count="3">
    <mergeCell ref="A1:C2"/>
    <mergeCell ref="P7:Q7"/>
    <mergeCell ref="A23:C24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3</xdr:col>
                    <xdr:colOff>38100</xdr:colOff>
                    <xdr:row>11</xdr:row>
                    <xdr:rowOff>0</xdr:rowOff>
                  </from>
                  <to>
                    <xdr:col>4</xdr:col>
                    <xdr:colOff>209550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Drop Down 6">
              <controlPr defaultSize="0" autoLine="0" autoPict="0">
                <anchor moveWithCells="1">
                  <from>
                    <xdr:col>3</xdr:col>
                    <xdr:colOff>28575</xdr:colOff>
                    <xdr:row>0</xdr:row>
                    <xdr:rowOff>47625</xdr:rowOff>
                  </from>
                  <to>
                    <xdr:col>4</xdr:col>
                    <xdr:colOff>552450</xdr:colOff>
                    <xdr:row>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Drop Down 7">
              <controlPr defaultSize="0" autoLine="0" autoPict="0">
                <anchor moveWithCells="1">
                  <from>
                    <xdr:col>3</xdr:col>
                    <xdr:colOff>38100</xdr:colOff>
                    <xdr:row>6</xdr:row>
                    <xdr:rowOff>180975</xdr:rowOff>
                  </from>
                  <to>
                    <xdr:col>4</xdr:col>
                    <xdr:colOff>209550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Drop Down 8">
              <controlPr defaultSize="0" autoLine="0" autoPict="0">
                <anchor moveWithCells="1">
                  <from>
                    <xdr:col>3</xdr:col>
                    <xdr:colOff>38100</xdr:colOff>
                    <xdr:row>13</xdr:row>
                    <xdr:rowOff>200025</xdr:rowOff>
                  </from>
                  <to>
                    <xdr:col>4</xdr:col>
                    <xdr:colOff>209550</xdr:colOff>
                    <xdr:row>15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9"/>
  <sheetViews>
    <sheetView tabSelected="1" topLeftCell="A10" workbookViewId="0">
      <selection activeCell="C26" sqref="C26"/>
    </sheetView>
  </sheetViews>
  <sheetFormatPr defaultRowHeight="15" x14ac:dyDescent="0.25"/>
  <cols>
    <col min="1" max="1" width="48.42578125" style="1" customWidth="1"/>
    <col min="2" max="2" width="39.42578125" style="1" customWidth="1"/>
    <col min="3" max="3" width="16.28515625" style="5" bestFit="1" customWidth="1"/>
    <col min="4" max="4" width="12.85546875" style="1" bestFit="1" customWidth="1"/>
    <col min="5" max="5" width="9.140625" style="1"/>
    <col min="6" max="6" width="12.85546875" style="1" bestFit="1" customWidth="1"/>
    <col min="7" max="8" width="9.140625" style="1"/>
    <col min="9" max="9" width="14.28515625" style="1" customWidth="1"/>
    <col min="10" max="10" width="9.140625" style="1"/>
    <col min="11" max="11" width="9.140625" style="12"/>
    <col min="12" max="12" width="9.140625" style="1"/>
    <col min="13" max="13" width="13.140625" style="1" bestFit="1" customWidth="1"/>
    <col min="14" max="16384" width="9.140625" style="1"/>
  </cols>
  <sheetData>
    <row r="1" spans="1:12" x14ac:dyDescent="0.25">
      <c r="A1" s="65" t="str">
        <f>IF(D2=1,"Verifica armatura trasversale per nodi interni (NTC §7.4.4.3.1)","Verifica armatura trasversale per nodi esterni (NTC  §7.4.4.3.1)")</f>
        <v>Verifica armatura trasversale per nodi esterni (NTC  §7.4.4.3.1)</v>
      </c>
      <c r="B1" s="66"/>
      <c r="C1" s="67"/>
      <c r="F1" s="1" t="s">
        <v>90</v>
      </c>
    </row>
    <row r="2" spans="1:12" x14ac:dyDescent="0.25">
      <c r="A2" s="75"/>
      <c r="B2" s="76"/>
      <c r="C2" s="77"/>
      <c r="D2" s="64">
        <v>2</v>
      </c>
      <c r="I2" s="1" t="s">
        <v>20</v>
      </c>
    </row>
    <row r="3" spans="1:12" x14ac:dyDescent="0.25">
      <c r="A3" s="14" t="s">
        <v>83</v>
      </c>
      <c r="B3" s="13" t="s">
        <v>16</v>
      </c>
      <c r="C3" s="63">
        <v>30</v>
      </c>
      <c r="I3" s="1" t="s">
        <v>21</v>
      </c>
    </row>
    <row r="4" spans="1:12" x14ac:dyDescent="0.25">
      <c r="A4" s="14" t="s">
        <v>84</v>
      </c>
      <c r="B4" s="13" t="s">
        <v>17</v>
      </c>
      <c r="C4" s="62">
        <v>30</v>
      </c>
    </row>
    <row r="5" spans="1:12" ht="18" x14ac:dyDescent="0.35">
      <c r="A5" s="14" t="s">
        <v>0</v>
      </c>
      <c r="B5" s="2" t="s">
        <v>1</v>
      </c>
      <c r="C5" s="37">
        <v>1.2</v>
      </c>
      <c r="D5" s="19"/>
      <c r="E5" s="9"/>
      <c r="F5" s="30"/>
    </row>
    <row r="6" spans="1:12" x14ac:dyDescent="0.25">
      <c r="A6" s="14" t="s">
        <v>96</v>
      </c>
      <c r="B6" s="13" t="s">
        <v>95</v>
      </c>
      <c r="C6" s="32">
        <v>2</v>
      </c>
    </row>
    <row r="7" spans="1:12" x14ac:dyDescent="0.25">
      <c r="A7" s="14" t="s">
        <v>2</v>
      </c>
      <c r="B7" s="13" t="s">
        <v>22</v>
      </c>
      <c r="C7" s="32">
        <v>4</v>
      </c>
      <c r="D7" s="3"/>
      <c r="I7" s="16" t="s">
        <v>24</v>
      </c>
      <c r="J7" s="18">
        <f>0.85*20/1.5</f>
        <v>11.333333333333334</v>
      </c>
      <c r="K7" s="22">
        <v>20</v>
      </c>
    </row>
    <row r="8" spans="1:12" x14ac:dyDescent="0.25">
      <c r="A8" s="14" t="s">
        <v>47</v>
      </c>
      <c r="B8" s="81" t="str">
        <f>INDEX(Tipo_acciaio,D9,1)</f>
        <v>Acciaio B450C</v>
      </c>
      <c r="C8" s="82"/>
      <c r="D8" s="3"/>
      <c r="I8" s="16" t="s">
        <v>25</v>
      </c>
      <c r="J8" s="18">
        <f>0.85*25/1.5</f>
        <v>14.166666666666666</v>
      </c>
      <c r="K8" s="22">
        <v>25</v>
      </c>
    </row>
    <row r="9" spans="1:12" ht="18" x14ac:dyDescent="0.35">
      <c r="A9" s="14" t="s">
        <v>27</v>
      </c>
      <c r="B9" s="13" t="s">
        <v>3</v>
      </c>
      <c r="C9" s="6">
        <f>INDEX(Tipo_acciaio,D9,2)</f>
        <v>391.304347826087</v>
      </c>
      <c r="D9" s="64">
        <v>1</v>
      </c>
      <c r="F9" s="4">
        <f>C9*0.1</f>
        <v>39.130434782608702</v>
      </c>
      <c r="I9" s="16" t="s">
        <v>26</v>
      </c>
      <c r="J9" s="18">
        <f>0.85*28/1.5</f>
        <v>15.866666666666667</v>
      </c>
      <c r="K9" s="22">
        <v>28</v>
      </c>
    </row>
    <row r="10" spans="1:12" x14ac:dyDescent="0.25">
      <c r="A10" s="14" t="str">
        <f>"Forza assiale agente al di "&amp;IF(D2=1,"sopra ","sotto ")&amp;"del nodo"</f>
        <v>Forza assiale agente al di sotto del nodo</v>
      </c>
      <c r="B10" s="13" t="s">
        <v>5</v>
      </c>
      <c r="C10" s="33">
        <v>10</v>
      </c>
      <c r="I10" s="16" t="s">
        <v>29</v>
      </c>
      <c r="J10" s="18">
        <f>0.85*32/1.5</f>
        <v>18.133333333333333</v>
      </c>
      <c r="K10" s="22">
        <v>32</v>
      </c>
    </row>
    <row r="11" spans="1:12" x14ac:dyDescent="0.25">
      <c r="A11" s="14" t="s">
        <v>23</v>
      </c>
      <c r="B11" s="81" t="str">
        <f>INDEX(Calcestruzzo,D12,1)</f>
        <v>C25/30</v>
      </c>
      <c r="C11" s="82"/>
      <c r="I11" s="16" t="s">
        <v>30</v>
      </c>
      <c r="J11" s="18">
        <f>0.85*35/1.5</f>
        <v>19.833333333333332</v>
      </c>
      <c r="K11" s="22">
        <v>35</v>
      </c>
    </row>
    <row r="12" spans="1:12" ht="18" x14ac:dyDescent="0.35">
      <c r="A12" s="14" t="s">
        <v>8</v>
      </c>
      <c r="B12" s="13" t="s">
        <v>7</v>
      </c>
      <c r="C12" s="6">
        <f>INDEX(fcd,D12,2)</f>
        <v>14.166666666666666</v>
      </c>
      <c r="D12" s="64">
        <v>2</v>
      </c>
      <c r="I12" s="16" t="s">
        <v>31</v>
      </c>
      <c r="J12" s="18">
        <f>0.85*40/1.5</f>
        <v>22.666666666666668</v>
      </c>
      <c r="K12" s="22">
        <v>40</v>
      </c>
    </row>
    <row r="13" spans="1:12" s="12" customFormat="1" ht="18" x14ac:dyDescent="0.35">
      <c r="A13" s="14" t="s">
        <v>54</v>
      </c>
      <c r="B13" s="13" t="s">
        <v>53</v>
      </c>
      <c r="C13" s="20">
        <f>INDEX(fck,D12,3)</f>
        <v>25</v>
      </c>
      <c r="F13" s="12" t="s">
        <v>68</v>
      </c>
      <c r="I13" s="31" t="s">
        <v>73</v>
      </c>
      <c r="J13" s="28">
        <v>1</v>
      </c>
      <c r="K13" s="28">
        <v>1</v>
      </c>
    </row>
    <row r="14" spans="1:12" ht="18" x14ac:dyDescent="0.35">
      <c r="A14" s="14" t="s">
        <v>9</v>
      </c>
      <c r="B14" s="13" t="s">
        <v>87</v>
      </c>
      <c r="C14" s="29">
        <f>C3*C4</f>
        <v>900</v>
      </c>
      <c r="I14" s="31" t="s">
        <v>73</v>
      </c>
      <c r="J14" s="28">
        <v>1</v>
      </c>
      <c r="K14" s="28">
        <v>1</v>
      </c>
    </row>
    <row r="15" spans="1:12" ht="18" x14ac:dyDescent="0.35">
      <c r="A15" s="14" t="s">
        <v>10</v>
      </c>
      <c r="B15" s="13" t="s">
        <v>4</v>
      </c>
      <c r="C15" s="43">
        <f>C10/(C12*0.1*C14)</f>
        <v>7.8431372549019607E-3</v>
      </c>
      <c r="D15" s="3"/>
    </row>
    <row r="16" spans="1:12" x14ac:dyDescent="0.25">
      <c r="A16" s="14" t="s">
        <v>28</v>
      </c>
      <c r="B16" s="83" t="str">
        <f>INDEX(Tipo_acciaio,D17,1)</f>
        <v>Acciaio B450C</v>
      </c>
      <c r="C16" s="84"/>
      <c r="K16" s="71" t="s">
        <v>33</v>
      </c>
      <c r="L16" s="72"/>
    </row>
    <row r="17" spans="1:12" ht="18" x14ac:dyDescent="0.35">
      <c r="A17" s="14" t="s">
        <v>11</v>
      </c>
      <c r="B17" s="13" t="s">
        <v>12</v>
      </c>
      <c r="C17" s="6">
        <f>INDEX(Tipo_acciaio,D17,2)</f>
        <v>391.304347826087</v>
      </c>
      <c r="D17" s="64">
        <v>1</v>
      </c>
      <c r="F17" s="4">
        <f>C17*0.1</f>
        <v>39.130434782608702</v>
      </c>
      <c r="I17" s="21" t="s">
        <v>32</v>
      </c>
      <c r="J17" s="11" t="s">
        <v>93</v>
      </c>
      <c r="K17" s="11" t="s">
        <v>39</v>
      </c>
      <c r="L17" s="11" t="s">
        <v>40</v>
      </c>
    </row>
    <row r="18" spans="1:12" s="12" customFormat="1" ht="18" x14ac:dyDescent="0.35">
      <c r="A18" s="14" t="s">
        <v>74</v>
      </c>
      <c r="B18" s="13" t="s">
        <v>75</v>
      </c>
      <c r="C18" s="6">
        <f>INDEX(Tipo_acciaio,D17,3)</f>
        <v>450</v>
      </c>
      <c r="F18" s="4"/>
      <c r="I18" s="16" t="s">
        <v>55</v>
      </c>
      <c r="J18" s="18">
        <f t="shared" ref="J18" si="0">K18/1.15</f>
        <v>391.304347826087</v>
      </c>
      <c r="K18" s="34">
        <v>450</v>
      </c>
      <c r="L18" s="16"/>
    </row>
    <row r="19" spans="1:12" s="12" customFormat="1" x14ac:dyDescent="0.25">
      <c r="A19" s="14" t="s">
        <v>71</v>
      </c>
      <c r="B19" s="23" t="s">
        <v>56</v>
      </c>
      <c r="C19" s="38">
        <v>8</v>
      </c>
      <c r="F19" s="4"/>
      <c r="I19" s="16" t="s">
        <v>34</v>
      </c>
      <c r="J19" s="18">
        <f>K19/1.15</f>
        <v>204.34782608695653</v>
      </c>
      <c r="K19" s="34">
        <v>235</v>
      </c>
      <c r="L19" s="16">
        <v>360</v>
      </c>
    </row>
    <row r="20" spans="1:12" ht="18" x14ac:dyDescent="0.35">
      <c r="A20" s="14" t="s">
        <v>91</v>
      </c>
      <c r="B20" s="13" t="s">
        <v>70</v>
      </c>
      <c r="C20" s="29">
        <f>PI()*C19^2/400</f>
        <v>0.50265482457436694</v>
      </c>
      <c r="D20" s="3"/>
      <c r="I20" s="16" t="s">
        <v>35</v>
      </c>
      <c r="J20" s="18">
        <f t="shared" ref="J20:J22" si="1">K20/1.15</f>
        <v>239.13043478260872</v>
      </c>
      <c r="K20" s="34">
        <v>275</v>
      </c>
      <c r="L20" s="16">
        <v>430</v>
      </c>
    </row>
    <row r="21" spans="1:12" ht="18" x14ac:dyDescent="0.35">
      <c r="A21" s="14" t="s">
        <v>77</v>
      </c>
      <c r="B21" s="25" t="s">
        <v>61</v>
      </c>
      <c r="C21" s="39">
        <v>2</v>
      </c>
      <c r="I21" s="16" t="s">
        <v>36</v>
      </c>
      <c r="J21" s="18">
        <f t="shared" si="1"/>
        <v>308.69565217391306</v>
      </c>
      <c r="K21" s="34">
        <v>355</v>
      </c>
      <c r="L21" s="16">
        <v>510</v>
      </c>
    </row>
    <row r="22" spans="1:12" x14ac:dyDescent="0.25">
      <c r="A22" s="14" t="s">
        <v>72</v>
      </c>
      <c r="B22" s="13" t="s">
        <v>58</v>
      </c>
      <c r="C22" s="39">
        <v>3</v>
      </c>
      <c r="F22" s="64"/>
      <c r="I22" s="17" t="s">
        <v>37</v>
      </c>
      <c r="J22" s="18">
        <f t="shared" si="1"/>
        <v>365.21739130434787</v>
      </c>
      <c r="K22" s="35">
        <v>420</v>
      </c>
      <c r="L22" s="17">
        <v>550</v>
      </c>
    </row>
    <row r="23" spans="1:12" ht="18" x14ac:dyDescent="0.35">
      <c r="A23" s="14" t="s">
        <v>14</v>
      </c>
      <c r="B23" s="13" t="s">
        <v>13</v>
      </c>
      <c r="C23" s="29">
        <f>C22*C21*C20</f>
        <v>3.0159289474462017</v>
      </c>
      <c r="I23" s="16" t="s">
        <v>48</v>
      </c>
      <c r="J23" s="10">
        <v>240</v>
      </c>
      <c r="K23" s="34">
        <v>400</v>
      </c>
      <c r="L23" s="10"/>
    </row>
    <row r="24" spans="1:12" ht="15" customHeight="1" x14ac:dyDescent="0.35">
      <c r="A24" s="73" t="str">
        <f>"VERIFICA "&amp;IF(D2=1,"(NTC 7.4.11)","(NTC 7.4.12)")</f>
        <v>VERIFICA (NTC 7.4.12)</v>
      </c>
      <c r="B24" s="13" t="s">
        <v>15</v>
      </c>
      <c r="C24" s="29">
        <f>C23*F17</f>
        <v>118.01461098702531</v>
      </c>
      <c r="I24" s="16" t="s">
        <v>49</v>
      </c>
      <c r="J24" s="10">
        <v>300</v>
      </c>
      <c r="K24" s="34">
        <v>500</v>
      </c>
      <c r="L24" s="10"/>
    </row>
    <row r="25" spans="1:12" x14ac:dyDescent="0.25">
      <c r="A25" s="73"/>
      <c r="B25" s="85" t="str">
        <f>IF($D$2=1,"γRd * (As1+As2) * fyd * (1-0,8 * νd)","γRd * As2 * fyd * (1-0,8 * νd)")</f>
        <v>γRd * As2 * fyd * (1-0,8 * νd)</v>
      </c>
      <c r="C25" s="29">
        <f>IF($D$2=1,C5*(C6+C7)*F9*(1-0.8*C15),C5*C7*F9*(1-0.8*C15))</f>
        <v>186.64757033248085</v>
      </c>
      <c r="I25" s="16" t="s">
        <v>50</v>
      </c>
      <c r="J25" s="10">
        <v>480</v>
      </c>
      <c r="K25" s="34">
        <v>600</v>
      </c>
      <c r="L25" s="10"/>
    </row>
    <row r="26" spans="1:12" ht="15.75" thickBot="1" x14ac:dyDescent="0.3">
      <c r="A26" s="73"/>
      <c r="B26" s="85" t="str">
        <f>IF($D$2 =1,"Ash * fywd ≥ γRd * (As1+As2) * fyd * (1-0,8 * νd)", "Ash * fywd ≥ γRd * As2 * fyd * (1-0,8 * νd)")</f>
        <v>Ash * fywd ≥ γRd * As2 * fyd * (1-0,8 * νd)</v>
      </c>
      <c r="C26" s="40" t="str">
        <f>IF(C24&gt;=C25,"VERIFICATO","NON VERIFICATO")</f>
        <v>NON VERIFICATO</v>
      </c>
      <c r="I26" s="16" t="s">
        <v>51</v>
      </c>
      <c r="J26" s="10">
        <v>649</v>
      </c>
      <c r="K26" s="34">
        <v>800</v>
      </c>
      <c r="L26" s="10"/>
    </row>
    <row r="27" spans="1:12" ht="24" thickBot="1" x14ac:dyDescent="0.3">
      <c r="A27" s="78" t="s">
        <v>85</v>
      </c>
      <c r="B27" s="79"/>
      <c r="C27" s="80"/>
      <c r="I27" s="16" t="s">
        <v>52</v>
      </c>
      <c r="J27" s="10">
        <v>900</v>
      </c>
      <c r="K27" s="34">
        <v>1000</v>
      </c>
      <c r="L27" s="10"/>
    </row>
    <row r="28" spans="1:12" ht="18" x14ac:dyDescent="0.35">
      <c r="A28" s="46" t="s">
        <v>78</v>
      </c>
      <c r="B28" s="47" t="s">
        <v>65</v>
      </c>
      <c r="C28" s="48">
        <v>30</v>
      </c>
      <c r="I28" s="31" t="s">
        <v>73</v>
      </c>
      <c r="J28" s="28">
        <v>1</v>
      </c>
      <c r="K28" s="36">
        <v>1</v>
      </c>
      <c r="L28" s="28"/>
    </row>
    <row r="29" spans="1:12" ht="18" x14ac:dyDescent="0.35">
      <c r="A29" s="14" t="s">
        <v>79</v>
      </c>
      <c r="B29" s="13" t="s">
        <v>66</v>
      </c>
      <c r="C29" s="42">
        <f>C3</f>
        <v>30</v>
      </c>
      <c r="I29" s="31" t="s">
        <v>73</v>
      </c>
      <c r="J29" s="28">
        <v>1</v>
      </c>
      <c r="K29" s="36">
        <v>1</v>
      </c>
      <c r="L29" s="28"/>
    </row>
    <row r="30" spans="1:12" ht="18" x14ac:dyDescent="0.35">
      <c r="A30" s="14" t="s">
        <v>80</v>
      </c>
      <c r="B30" s="13" t="s">
        <v>67</v>
      </c>
      <c r="C30" s="42">
        <f>IF(C28&gt;C29,MIN(C28,C29+C4/2),MIN(C29,C28+C4/2))</f>
        <v>30</v>
      </c>
    </row>
    <row r="31" spans="1:12" ht="18" x14ac:dyDescent="0.35">
      <c r="A31" s="14" t="s">
        <v>81</v>
      </c>
      <c r="B31" s="13" t="s">
        <v>61</v>
      </c>
      <c r="C31" s="50">
        <f>C21</f>
        <v>2</v>
      </c>
    </row>
    <row r="32" spans="1:12" s="12" customFormat="1" ht="18" x14ac:dyDescent="0.35">
      <c r="A32" s="14" t="s">
        <v>91</v>
      </c>
      <c r="B32" s="13" t="s">
        <v>92</v>
      </c>
      <c r="C32" s="29">
        <f>C20</f>
        <v>0.50265482457436694</v>
      </c>
    </row>
    <row r="33" spans="1:3" x14ac:dyDescent="0.25">
      <c r="A33" s="14" t="s">
        <v>82</v>
      </c>
      <c r="B33" s="13" t="s">
        <v>62</v>
      </c>
      <c r="C33" s="41">
        <v>5</v>
      </c>
    </row>
    <row r="34" spans="1:3" s="12" customFormat="1" x14ac:dyDescent="0.25">
      <c r="A34" s="14" t="s">
        <v>54</v>
      </c>
      <c r="B34" s="13" t="str">
        <f xml:space="preserve"> "fck ("&amp;B11&amp;")"</f>
        <v>fck (C25/30)</v>
      </c>
      <c r="C34" s="20">
        <f>C13</f>
        <v>25</v>
      </c>
    </row>
    <row r="35" spans="1:3" s="12" customFormat="1" x14ac:dyDescent="0.25">
      <c r="A35" s="14" t="s">
        <v>74</v>
      </c>
      <c r="B35" s="13" t="str">
        <f>" fyk ("&amp;B16&amp;")"</f>
        <v xml:space="preserve"> fyk (Acciaio B450C)</v>
      </c>
      <c r="C35" s="20">
        <f>C18</f>
        <v>450</v>
      </c>
    </row>
    <row r="36" spans="1:3" ht="18" x14ac:dyDescent="0.35">
      <c r="A36" s="73" t="s">
        <v>69</v>
      </c>
      <c r="B36" s="13" t="s">
        <v>63</v>
      </c>
      <c r="C36" s="43">
        <f>C31*C32/(C33*C30)</f>
        <v>6.7020643276582258E-3</v>
      </c>
    </row>
    <row r="37" spans="1:3" ht="18" x14ac:dyDescent="0.35">
      <c r="A37" s="73"/>
      <c r="B37" s="13" t="s">
        <v>64</v>
      </c>
      <c r="C37" s="43">
        <f>0.05*C34/C35</f>
        <v>2.7777777777777779E-3</v>
      </c>
    </row>
    <row r="38" spans="1:3" ht="18.75" thickBot="1" x14ac:dyDescent="0.4">
      <c r="A38" s="74"/>
      <c r="B38" s="44" t="s">
        <v>76</v>
      </c>
      <c r="C38" s="45" t="str">
        <f>IF(C36&gt;=C37,"VERIFICATO","NON VERIFICATO")</f>
        <v>VERIFICATO</v>
      </c>
    </row>
    <row r="39" spans="1:3" x14ac:dyDescent="0.25">
      <c r="A39" s="12"/>
      <c r="B39" s="12"/>
    </row>
  </sheetData>
  <sheetProtection password="CC79" sheet="1" objects="1" scenarios="1"/>
  <mergeCells count="8">
    <mergeCell ref="A36:A38"/>
    <mergeCell ref="A1:C2"/>
    <mergeCell ref="A24:A26"/>
    <mergeCell ref="K16:L16"/>
    <mergeCell ref="A27:C27"/>
    <mergeCell ref="B8:C8"/>
    <mergeCell ref="B16:C16"/>
    <mergeCell ref="B11:C11"/>
  </mergeCells>
  <conditionalFormatting sqref="C38">
    <cfRule type="containsText" dxfId="7" priority="5" operator="containsText" text="NON VERIFICATO">
      <formula>NOT(ISERROR(SEARCH("NON VERIFICATO",C38)))</formula>
    </cfRule>
    <cfRule type="containsText" dxfId="6" priority="6" operator="containsText" text="VERIFICATO">
      <formula>NOT(ISERROR(SEARCH("VERIFICATO",C38)))</formula>
    </cfRule>
    <cfRule type="containsText" dxfId="5" priority="7" operator="containsText" text="NON VERIFICATO">
      <formula>NOT(ISERROR(SEARCH("NON VERIFICATO",C38)))</formula>
    </cfRule>
    <cfRule type="containsText" dxfId="4" priority="8" operator="containsText" text="NON VERIFICATO">
      <formula>NOT(ISERROR(SEARCH("NON VERIFICATO",C38)))</formula>
    </cfRule>
  </conditionalFormatting>
  <conditionalFormatting sqref="C26">
    <cfRule type="containsText" dxfId="3" priority="1" operator="containsText" text="NON VERIFICATO">
      <formula>NOT(ISERROR(SEARCH("NON VERIFICATO",C26)))</formula>
    </cfRule>
    <cfRule type="containsText" dxfId="2" priority="2" operator="containsText" text="VERIFICATO">
      <formula>NOT(ISERROR(SEARCH("VERIFICATO",C26)))</formula>
    </cfRule>
    <cfRule type="containsText" dxfId="1" priority="3" operator="containsText" text="NON VERIFICATO">
      <formula>NOT(ISERROR(SEARCH("NON VERIFICATO",C26)))</formula>
    </cfRule>
    <cfRule type="containsText" dxfId="0" priority="4" operator="containsText" text="NON VERIFICATO">
      <formula>NOT(ISERROR(SEARCH("NON VERIFICATO",C26)))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3</xdr:col>
                    <xdr:colOff>47625</xdr:colOff>
                    <xdr:row>11</xdr:row>
                    <xdr:rowOff>0</xdr:rowOff>
                  </from>
                  <to>
                    <xdr:col>4</xdr:col>
                    <xdr:colOff>219075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Drop Down 4">
              <controlPr defaultSize="0" autoLine="0" autoPict="0">
                <anchor moveWithCells="1">
                  <from>
                    <xdr:col>3</xdr:col>
                    <xdr:colOff>47625</xdr:colOff>
                    <xdr:row>0</xdr:row>
                    <xdr:rowOff>47625</xdr:rowOff>
                  </from>
                  <to>
                    <xdr:col>4</xdr:col>
                    <xdr:colOff>523875</xdr:colOff>
                    <xdr:row>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3</xdr:col>
                    <xdr:colOff>38100</xdr:colOff>
                    <xdr:row>8</xdr:row>
                    <xdr:rowOff>0</xdr:rowOff>
                  </from>
                  <to>
                    <xdr:col>4</xdr:col>
                    <xdr:colOff>209550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Drop Down 7">
              <controlPr defaultSize="0" autoLine="0" autoPict="0">
                <anchor moveWithCells="1">
                  <from>
                    <xdr:col>3</xdr:col>
                    <xdr:colOff>38100</xdr:colOff>
                    <xdr:row>16</xdr:row>
                    <xdr:rowOff>0</xdr:rowOff>
                  </from>
                  <to>
                    <xdr:col>4</xdr:col>
                    <xdr:colOff>209550</xdr:colOff>
                    <xdr:row>17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8</vt:i4>
      </vt:variant>
    </vt:vector>
  </HeadingPairs>
  <TitlesOfParts>
    <vt:vector size="11" baseType="lpstr">
      <vt:lpstr>PROGETTO</vt:lpstr>
      <vt:lpstr>VERIFICA 7.4.11,12e29</vt:lpstr>
      <vt:lpstr>Foglio3</vt:lpstr>
      <vt:lpstr>PROGETTO!Area_stampa</vt:lpstr>
      <vt:lpstr>'VERIFICA 7.4.11,12e29'!Area_stampa</vt:lpstr>
      <vt:lpstr>Calcestruzzo</vt:lpstr>
      <vt:lpstr>fcd</vt:lpstr>
      <vt:lpstr>fck</vt:lpstr>
      <vt:lpstr>fyd</vt:lpstr>
      <vt:lpstr>fyk</vt:lpstr>
      <vt:lpstr>Tipo_acciaio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2011-01-28T15:37:27Z</dcterms:modified>
</cp:coreProperties>
</file>